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S:\Performance_Management_Unit\2_Raw_Data\3_Public_Disclosure_Data\13_FY2023\Q1\"/>
    </mc:Choice>
  </mc:AlternateContent>
  <xr:revisionPtr revIDLastSave="0" documentId="13_ncr:1_{130A4D35-B995-4001-A599-8E172B879341}" xr6:coauthVersionLast="47" xr6:coauthVersionMax="47" xr10:uidLastSave="{00000000-0000-0000-0000-000000000000}"/>
  <bookViews>
    <workbookView xWindow="-120" yWindow="-120" windowWidth="29040" windowHeight="15840" xr2:uid="{00000000-000D-0000-FFFF-FFFF00000000}"/>
  </bookViews>
  <sheets>
    <sheet name="PW_Disclosure_Data_FY2023_Q1_ol" sheetId="1" r:id="rId1"/>
  </sheets>
  <definedNames>
    <definedName name="_xlnm._FilterDatabase" localSheetId="0" hidden="1">PW_Disclosure_Data_FY2023_Q1_ol!$A$1:$BZ$551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469" i="1" l="1"/>
  <c r="J469" i="1"/>
  <c r="K469" i="1"/>
  <c r="L469" i="1"/>
  <c r="M469" i="1"/>
  <c r="N469" i="1"/>
  <c r="O469" i="1"/>
  <c r="P469" i="1"/>
  <c r="Q469" i="1"/>
  <c r="R469" i="1"/>
  <c r="S469" i="1"/>
  <c r="T469" i="1"/>
  <c r="U469" i="1"/>
  <c r="V469" i="1"/>
  <c r="W469" i="1"/>
  <c r="X469" i="1"/>
  <c r="Y469" i="1"/>
  <c r="Z469" i="1"/>
  <c r="AA469" i="1"/>
  <c r="AB469" i="1"/>
  <c r="AC469" i="1"/>
  <c r="AD469" i="1"/>
  <c r="AE469" i="1"/>
  <c r="AF469" i="1"/>
  <c r="AG469" i="1"/>
  <c r="AH469" i="1"/>
  <c r="AI469" i="1"/>
  <c r="AP469" i="1"/>
  <c r="AQ469" i="1"/>
  <c r="AR469" i="1"/>
  <c r="AS469" i="1"/>
  <c r="AU469" i="1"/>
  <c r="AV469" i="1"/>
  <c r="AX469" i="1"/>
  <c r="BK469" i="1"/>
  <c r="BL469" i="1"/>
  <c r="BM469" i="1"/>
  <c r="BP469" i="1"/>
  <c r="BR469" i="1"/>
  <c r="I406" i="1"/>
  <c r="J406" i="1"/>
  <c r="K406" i="1"/>
  <c r="L406" i="1"/>
  <c r="M406" i="1"/>
  <c r="N406" i="1"/>
  <c r="O406" i="1"/>
  <c r="P406" i="1"/>
  <c r="Q406" i="1"/>
  <c r="R406" i="1"/>
  <c r="S406" i="1"/>
  <c r="T406" i="1"/>
  <c r="U406" i="1"/>
  <c r="V406" i="1"/>
  <c r="W406" i="1"/>
  <c r="X406" i="1"/>
  <c r="Y406" i="1"/>
  <c r="Z406" i="1"/>
  <c r="AA406" i="1"/>
  <c r="AB406" i="1"/>
  <c r="AC406" i="1"/>
  <c r="AD406" i="1"/>
  <c r="AE406" i="1"/>
  <c r="AF406" i="1"/>
  <c r="AG406" i="1"/>
  <c r="AH406" i="1"/>
  <c r="AI406" i="1"/>
  <c r="AP406" i="1"/>
  <c r="AQ406" i="1"/>
  <c r="AR406" i="1"/>
  <c r="AS406" i="1"/>
  <c r="AU406" i="1"/>
  <c r="AV406" i="1"/>
  <c r="BK406" i="1"/>
  <c r="BL406" i="1"/>
  <c r="BM406" i="1"/>
  <c r="BP406" i="1"/>
  <c r="BR406" i="1"/>
  <c r="I259" i="1"/>
  <c r="J259" i="1"/>
  <c r="K259" i="1"/>
  <c r="L259" i="1"/>
  <c r="M259" i="1"/>
  <c r="N259" i="1"/>
  <c r="O259" i="1"/>
  <c r="P259" i="1"/>
  <c r="Q259" i="1"/>
  <c r="R259" i="1"/>
  <c r="S259" i="1"/>
  <c r="T259" i="1"/>
  <c r="U259" i="1"/>
  <c r="V259" i="1"/>
  <c r="W259" i="1"/>
  <c r="X259" i="1"/>
  <c r="Y259" i="1"/>
  <c r="Z259" i="1"/>
  <c r="AA259" i="1"/>
  <c r="AB259" i="1"/>
  <c r="AC259" i="1"/>
  <c r="AD259" i="1"/>
  <c r="AE259" i="1"/>
  <c r="AF259" i="1"/>
  <c r="AG259" i="1"/>
  <c r="AH259" i="1"/>
  <c r="AI259" i="1"/>
  <c r="AP259" i="1"/>
  <c r="AQ259" i="1"/>
  <c r="AR259" i="1"/>
  <c r="AS259" i="1"/>
  <c r="AU259" i="1"/>
  <c r="AV259" i="1"/>
  <c r="AX259" i="1"/>
  <c r="BK259" i="1"/>
  <c r="BL259" i="1"/>
  <c r="BM259" i="1"/>
  <c r="BP259" i="1"/>
  <c r="BR259" i="1"/>
  <c r="I260" i="1"/>
  <c r="J260" i="1"/>
  <c r="K260" i="1"/>
  <c r="L260" i="1"/>
  <c r="M260" i="1"/>
  <c r="N260" i="1"/>
  <c r="O260" i="1"/>
  <c r="P260" i="1"/>
  <c r="Q260" i="1"/>
  <c r="R260" i="1"/>
  <c r="S260" i="1"/>
  <c r="T260" i="1"/>
  <c r="U260" i="1"/>
  <c r="V260" i="1"/>
  <c r="W260" i="1"/>
  <c r="X260" i="1"/>
  <c r="Y260" i="1"/>
  <c r="Z260" i="1"/>
  <c r="AA260" i="1"/>
  <c r="AB260" i="1"/>
  <c r="AC260" i="1"/>
  <c r="AD260" i="1"/>
  <c r="AE260" i="1"/>
  <c r="AF260" i="1"/>
  <c r="AG260" i="1"/>
  <c r="AH260" i="1"/>
  <c r="AI260" i="1"/>
  <c r="AP260" i="1"/>
  <c r="AQ260" i="1"/>
  <c r="AR260" i="1"/>
  <c r="AS260" i="1"/>
  <c r="AU260" i="1"/>
  <c r="AV260" i="1"/>
  <c r="AX260" i="1"/>
  <c r="BK260" i="1"/>
  <c r="BL260" i="1"/>
  <c r="BM260" i="1"/>
  <c r="BP260" i="1"/>
  <c r="BR260" i="1"/>
  <c r="I536" i="1"/>
  <c r="J536" i="1"/>
  <c r="K536" i="1"/>
  <c r="L536" i="1"/>
  <c r="M536" i="1"/>
  <c r="N536" i="1"/>
  <c r="O536" i="1"/>
  <c r="P536" i="1"/>
  <c r="Q536" i="1"/>
  <c r="R536" i="1"/>
  <c r="S536" i="1"/>
  <c r="T536" i="1"/>
  <c r="U536" i="1"/>
  <c r="V536" i="1"/>
  <c r="W536" i="1"/>
  <c r="X536" i="1"/>
  <c r="Y536" i="1"/>
  <c r="Z536" i="1"/>
  <c r="AA536" i="1"/>
  <c r="AB536" i="1"/>
  <c r="AC536" i="1"/>
  <c r="AD536" i="1"/>
  <c r="AE536" i="1"/>
  <c r="AF536" i="1"/>
  <c r="AG536" i="1"/>
  <c r="AH536" i="1"/>
  <c r="AI536" i="1"/>
  <c r="AP536" i="1"/>
  <c r="AQ536" i="1"/>
  <c r="AR536" i="1"/>
  <c r="AS536" i="1"/>
  <c r="AU536" i="1"/>
  <c r="AV536" i="1"/>
  <c r="AX536" i="1"/>
  <c r="BK536" i="1"/>
  <c r="BL536" i="1"/>
  <c r="BM536" i="1"/>
  <c r="BP536" i="1"/>
  <c r="BR536" i="1"/>
  <c r="I537" i="1"/>
  <c r="J537" i="1"/>
  <c r="K537" i="1"/>
  <c r="L537" i="1"/>
  <c r="M537" i="1"/>
  <c r="N537" i="1"/>
  <c r="O537" i="1"/>
  <c r="P537" i="1"/>
  <c r="Q537" i="1"/>
  <c r="R537" i="1"/>
  <c r="S537" i="1"/>
  <c r="T537" i="1"/>
  <c r="U537" i="1"/>
  <c r="V537" i="1"/>
  <c r="W537" i="1"/>
  <c r="X537" i="1"/>
  <c r="Y537" i="1"/>
  <c r="Z537" i="1"/>
  <c r="AA537" i="1"/>
  <c r="AB537" i="1"/>
  <c r="AC537" i="1"/>
  <c r="AD537" i="1"/>
  <c r="AE537" i="1"/>
  <c r="AF537" i="1"/>
  <c r="AG537" i="1"/>
  <c r="AH537" i="1"/>
  <c r="AI537" i="1"/>
  <c r="AP537" i="1"/>
  <c r="AQ537" i="1"/>
  <c r="AR537" i="1"/>
  <c r="AS537" i="1"/>
  <c r="AU537" i="1"/>
  <c r="AV537" i="1"/>
  <c r="AX537" i="1"/>
  <c r="BK537" i="1"/>
  <c r="BL537" i="1"/>
  <c r="BM537" i="1"/>
  <c r="BP537" i="1"/>
  <c r="BR537" i="1"/>
  <c r="I532" i="1"/>
  <c r="J532" i="1"/>
  <c r="K532" i="1"/>
  <c r="L532" i="1"/>
  <c r="M532" i="1"/>
  <c r="N532" i="1"/>
  <c r="O532" i="1"/>
  <c r="P532" i="1"/>
  <c r="Q532" i="1"/>
  <c r="R532" i="1"/>
  <c r="S532" i="1"/>
  <c r="T532" i="1"/>
  <c r="U532" i="1"/>
  <c r="V532" i="1"/>
  <c r="W532" i="1"/>
  <c r="X532" i="1"/>
  <c r="Y532" i="1"/>
  <c r="Z532" i="1"/>
  <c r="AA532" i="1"/>
  <c r="AB532" i="1"/>
  <c r="AC532" i="1"/>
  <c r="AD532" i="1"/>
  <c r="AE532" i="1"/>
  <c r="AF532" i="1"/>
  <c r="AG532" i="1"/>
  <c r="AH532" i="1"/>
  <c r="AI532" i="1"/>
  <c r="AP532" i="1"/>
  <c r="AQ532" i="1"/>
  <c r="AR532" i="1"/>
  <c r="AS532" i="1"/>
  <c r="AU532" i="1"/>
  <c r="AV532" i="1"/>
  <c r="AX532" i="1"/>
  <c r="BK532" i="1"/>
  <c r="BL532" i="1"/>
  <c r="BM532" i="1"/>
  <c r="BP532" i="1"/>
  <c r="BR532" i="1"/>
  <c r="I533" i="1"/>
  <c r="J533" i="1"/>
  <c r="K533" i="1"/>
  <c r="L533" i="1"/>
  <c r="M533" i="1"/>
  <c r="N533" i="1"/>
  <c r="O533" i="1"/>
  <c r="P533" i="1"/>
  <c r="Q533" i="1"/>
  <c r="R533" i="1"/>
  <c r="S533" i="1"/>
  <c r="T533" i="1"/>
  <c r="U533" i="1"/>
  <c r="V533" i="1"/>
  <c r="W533" i="1"/>
  <c r="X533" i="1"/>
  <c r="Y533" i="1"/>
  <c r="Z533" i="1"/>
  <c r="AA533" i="1"/>
  <c r="AB533" i="1"/>
  <c r="AC533" i="1"/>
  <c r="AD533" i="1"/>
  <c r="AE533" i="1"/>
  <c r="AF533" i="1"/>
  <c r="AG533" i="1"/>
  <c r="AH533" i="1"/>
  <c r="AI533" i="1"/>
  <c r="AP533" i="1"/>
  <c r="AQ533" i="1"/>
  <c r="AR533" i="1"/>
  <c r="AS533" i="1"/>
  <c r="AU533" i="1"/>
  <c r="AV533" i="1"/>
  <c r="AX533" i="1"/>
  <c r="BK533" i="1"/>
  <c r="BL533" i="1"/>
  <c r="BM533" i="1"/>
  <c r="BP533" i="1"/>
  <c r="BR533" i="1"/>
  <c r="I534" i="1"/>
  <c r="J534" i="1"/>
  <c r="K534" i="1"/>
  <c r="L534" i="1"/>
  <c r="M534" i="1"/>
  <c r="N534" i="1"/>
  <c r="O534" i="1"/>
  <c r="P534" i="1"/>
  <c r="Q534" i="1"/>
  <c r="R534" i="1"/>
  <c r="S534" i="1"/>
  <c r="T534" i="1"/>
  <c r="U534" i="1"/>
  <c r="V534" i="1"/>
  <c r="W534" i="1"/>
  <c r="X534" i="1"/>
  <c r="Y534" i="1"/>
  <c r="Z534" i="1"/>
  <c r="AA534" i="1"/>
  <c r="AB534" i="1"/>
  <c r="AC534" i="1"/>
  <c r="AD534" i="1"/>
  <c r="AE534" i="1"/>
  <c r="AF534" i="1"/>
  <c r="AG534" i="1"/>
  <c r="AH534" i="1"/>
  <c r="AI534" i="1"/>
  <c r="AP534" i="1"/>
  <c r="AQ534" i="1"/>
  <c r="AR534" i="1"/>
  <c r="AS534" i="1"/>
  <c r="AU534" i="1"/>
  <c r="AV534" i="1"/>
  <c r="AX534" i="1"/>
  <c r="BK534" i="1"/>
  <c r="BL534" i="1"/>
  <c r="BM534" i="1"/>
  <c r="BP534" i="1"/>
  <c r="BR534" i="1"/>
  <c r="I535" i="1"/>
  <c r="J535" i="1"/>
  <c r="K535" i="1"/>
  <c r="L535" i="1"/>
  <c r="M535" i="1"/>
  <c r="N535" i="1"/>
  <c r="O535" i="1"/>
  <c r="P535" i="1"/>
  <c r="Q535" i="1"/>
  <c r="R535" i="1"/>
  <c r="S535" i="1"/>
  <c r="T535" i="1"/>
  <c r="U535" i="1"/>
  <c r="V535" i="1"/>
  <c r="W535" i="1"/>
  <c r="X535" i="1"/>
  <c r="Y535" i="1"/>
  <c r="Z535" i="1"/>
  <c r="AA535" i="1"/>
  <c r="AB535" i="1"/>
  <c r="AC535" i="1"/>
  <c r="AD535" i="1"/>
  <c r="AE535" i="1"/>
  <c r="AF535" i="1"/>
  <c r="AG535" i="1"/>
  <c r="AH535" i="1"/>
  <c r="AI535" i="1"/>
  <c r="AP535" i="1"/>
  <c r="AQ535" i="1"/>
  <c r="AR535" i="1"/>
  <c r="AS535" i="1"/>
  <c r="AU535" i="1"/>
  <c r="AV535" i="1"/>
  <c r="AX535" i="1"/>
  <c r="BK535" i="1"/>
  <c r="BL535" i="1"/>
  <c r="BM535" i="1"/>
  <c r="BP535" i="1"/>
  <c r="BR535" i="1"/>
  <c r="I529" i="1"/>
  <c r="J529" i="1"/>
  <c r="K529" i="1"/>
  <c r="L529" i="1"/>
  <c r="M529" i="1"/>
  <c r="N529" i="1"/>
  <c r="O529" i="1"/>
  <c r="P529" i="1"/>
  <c r="Q529" i="1"/>
  <c r="R529" i="1"/>
  <c r="S529" i="1"/>
  <c r="T529" i="1"/>
  <c r="U529" i="1"/>
  <c r="V529" i="1"/>
  <c r="W529" i="1"/>
  <c r="X529" i="1"/>
  <c r="Y529" i="1"/>
  <c r="Z529" i="1"/>
  <c r="AA529" i="1"/>
  <c r="AB529" i="1"/>
  <c r="AC529" i="1"/>
  <c r="AD529" i="1"/>
  <c r="AE529" i="1"/>
  <c r="AF529" i="1"/>
  <c r="AG529" i="1"/>
  <c r="AH529" i="1"/>
  <c r="AI529" i="1"/>
  <c r="AP529" i="1"/>
  <c r="AQ529" i="1"/>
  <c r="AR529" i="1"/>
  <c r="AS529" i="1"/>
  <c r="AU529" i="1"/>
  <c r="AV529" i="1"/>
  <c r="AX529" i="1"/>
  <c r="BK529" i="1"/>
  <c r="BL529" i="1"/>
  <c r="BM529" i="1"/>
  <c r="BP529" i="1"/>
  <c r="BR529" i="1"/>
  <c r="I530" i="1"/>
  <c r="J530" i="1"/>
  <c r="K530" i="1"/>
  <c r="L530" i="1"/>
  <c r="M530" i="1"/>
  <c r="N530" i="1"/>
  <c r="O530" i="1"/>
  <c r="P530" i="1"/>
  <c r="Q530" i="1"/>
  <c r="R530" i="1"/>
  <c r="S530" i="1"/>
  <c r="T530" i="1"/>
  <c r="U530" i="1"/>
  <c r="V530" i="1"/>
  <c r="W530" i="1"/>
  <c r="X530" i="1"/>
  <c r="Y530" i="1"/>
  <c r="Z530" i="1"/>
  <c r="AA530" i="1"/>
  <c r="AB530" i="1"/>
  <c r="AC530" i="1"/>
  <c r="AD530" i="1"/>
  <c r="AE530" i="1"/>
  <c r="AF530" i="1"/>
  <c r="AG530" i="1"/>
  <c r="AH530" i="1"/>
  <c r="AI530" i="1"/>
  <c r="AP530" i="1"/>
  <c r="AQ530" i="1"/>
  <c r="AR530" i="1"/>
  <c r="AS530" i="1"/>
  <c r="AU530" i="1"/>
  <c r="AV530" i="1"/>
  <c r="AX530" i="1"/>
  <c r="BK530" i="1"/>
  <c r="BL530" i="1"/>
  <c r="BM530" i="1"/>
  <c r="BP530" i="1"/>
  <c r="BR530" i="1"/>
  <c r="I531" i="1"/>
  <c r="J531" i="1"/>
  <c r="K531" i="1"/>
  <c r="L531" i="1"/>
  <c r="M531" i="1"/>
  <c r="N531" i="1"/>
  <c r="O531" i="1"/>
  <c r="P531" i="1"/>
  <c r="Q531" i="1"/>
  <c r="R531" i="1"/>
  <c r="S531" i="1"/>
  <c r="T531" i="1"/>
  <c r="U531" i="1"/>
  <c r="V531" i="1"/>
  <c r="W531" i="1"/>
  <c r="X531" i="1"/>
  <c r="Y531" i="1"/>
  <c r="Z531" i="1"/>
  <c r="AA531" i="1"/>
  <c r="AB531" i="1"/>
  <c r="AC531" i="1"/>
  <c r="AD531" i="1"/>
  <c r="AE531" i="1"/>
  <c r="AF531" i="1"/>
  <c r="AG531" i="1"/>
  <c r="AH531" i="1"/>
  <c r="AI531" i="1"/>
  <c r="AP531" i="1"/>
  <c r="AQ531" i="1"/>
  <c r="AR531" i="1"/>
  <c r="AS531" i="1"/>
  <c r="AU531" i="1"/>
  <c r="AV531" i="1"/>
  <c r="AX531" i="1"/>
  <c r="BK531" i="1"/>
  <c r="BL531" i="1"/>
  <c r="BM531" i="1"/>
  <c r="BP531" i="1"/>
  <c r="BR531" i="1"/>
  <c r="I524" i="1"/>
  <c r="J524" i="1"/>
  <c r="K524" i="1"/>
  <c r="L524" i="1"/>
  <c r="M524" i="1"/>
  <c r="N524" i="1"/>
  <c r="O524" i="1"/>
  <c r="P524" i="1"/>
  <c r="Q524" i="1"/>
  <c r="R524" i="1"/>
  <c r="S524" i="1"/>
  <c r="T524" i="1"/>
  <c r="U524" i="1"/>
  <c r="V524" i="1"/>
  <c r="W524" i="1"/>
  <c r="X524" i="1"/>
  <c r="Y524" i="1"/>
  <c r="Z524" i="1"/>
  <c r="AA524" i="1"/>
  <c r="AB524" i="1"/>
  <c r="AC524" i="1"/>
  <c r="AD524" i="1"/>
  <c r="AE524" i="1"/>
  <c r="AF524" i="1"/>
  <c r="AG524" i="1"/>
  <c r="AH524" i="1"/>
  <c r="AI524" i="1"/>
  <c r="AP524" i="1"/>
  <c r="AQ524" i="1"/>
  <c r="AR524" i="1"/>
  <c r="AS524" i="1"/>
  <c r="AU524" i="1"/>
  <c r="AV524" i="1"/>
  <c r="AX524" i="1"/>
  <c r="BK524" i="1"/>
  <c r="BL524" i="1"/>
  <c r="BM524" i="1"/>
  <c r="BP524" i="1"/>
  <c r="BR524" i="1"/>
  <c r="I525" i="1"/>
  <c r="J525" i="1"/>
  <c r="K525" i="1"/>
  <c r="L525" i="1"/>
  <c r="M525" i="1"/>
  <c r="N525" i="1"/>
  <c r="O525" i="1"/>
  <c r="P525" i="1"/>
  <c r="Q525" i="1"/>
  <c r="R525" i="1"/>
  <c r="S525" i="1"/>
  <c r="T525" i="1"/>
  <c r="U525" i="1"/>
  <c r="V525" i="1"/>
  <c r="W525" i="1"/>
  <c r="X525" i="1"/>
  <c r="Y525" i="1"/>
  <c r="Z525" i="1"/>
  <c r="AA525" i="1"/>
  <c r="AB525" i="1"/>
  <c r="AC525" i="1"/>
  <c r="AD525" i="1"/>
  <c r="AE525" i="1"/>
  <c r="AF525" i="1"/>
  <c r="AG525" i="1"/>
  <c r="AH525" i="1"/>
  <c r="AI525" i="1"/>
  <c r="AP525" i="1"/>
  <c r="AQ525" i="1"/>
  <c r="AR525" i="1"/>
  <c r="AS525" i="1"/>
  <c r="AU525" i="1"/>
  <c r="AV525" i="1"/>
  <c r="AX525" i="1"/>
  <c r="BK525" i="1"/>
  <c r="BL525" i="1"/>
  <c r="BM525" i="1"/>
  <c r="BP525" i="1"/>
  <c r="BR525" i="1"/>
  <c r="I526" i="1"/>
  <c r="J526" i="1"/>
  <c r="K526" i="1"/>
  <c r="L526" i="1"/>
  <c r="M526" i="1"/>
  <c r="N526" i="1"/>
  <c r="O526" i="1"/>
  <c r="P526" i="1"/>
  <c r="Q526" i="1"/>
  <c r="R526" i="1"/>
  <c r="S526" i="1"/>
  <c r="T526" i="1"/>
  <c r="U526" i="1"/>
  <c r="V526" i="1"/>
  <c r="W526" i="1"/>
  <c r="X526" i="1"/>
  <c r="Y526" i="1"/>
  <c r="Z526" i="1"/>
  <c r="AA526" i="1"/>
  <c r="AB526" i="1"/>
  <c r="AC526" i="1"/>
  <c r="AD526" i="1"/>
  <c r="AE526" i="1"/>
  <c r="AF526" i="1"/>
  <c r="AG526" i="1"/>
  <c r="AH526" i="1"/>
  <c r="AI526" i="1"/>
  <c r="AP526" i="1"/>
  <c r="AQ526" i="1"/>
  <c r="AR526" i="1"/>
  <c r="AS526" i="1"/>
  <c r="AU526" i="1"/>
  <c r="AV526" i="1"/>
  <c r="AX526" i="1"/>
  <c r="BK526" i="1"/>
  <c r="BL526" i="1"/>
  <c r="BM526" i="1"/>
  <c r="BP526" i="1"/>
  <c r="BR526" i="1"/>
  <c r="I527" i="1"/>
  <c r="J527" i="1"/>
  <c r="K527" i="1"/>
  <c r="L527" i="1"/>
  <c r="M527" i="1"/>
  <c r="N527" i="1"/>
  <c r="O527" i="1"/>
  <c r="P527" i="1"/>
  <c r="Q527" i="1"/>
  <c r="R527" i="1"/>
  <c r="S527" i="1"/>
  <c r="T527" i="1"/>
  <c r="U527" i="1"/>
  <c r="V527" i="1"/>
  <c r="W527" i="1"/>
  <c r="X527" i="1"/>
  <c r="Y527" i="1"/>
  <c r="Z527" i="1"/>
  <c r="AA527" i="1"/>
  <c r="AB527" i="1"/>
  <c r="AC527" i="1"/>
  <c r="AD527" i="1"/>
  <c r="AE527" i="1"/>
  <c r="AF527" i="1"/>
  <c r="AG527" i="1"/>
  <c r="AH527" i="1"/>
  <c r="AI527" i="1"/>
  <c r="AP527" i="1"/>
  <c r="AQ527" i="1"/>
  <c r="AR527" i="1"/>
  <c r="AS527" i="1"/>
  <c r="AU527" i="1"/>
  <c r="AV527" i="1"/>
  <c r="AX527" i="1"/>
  <c r="BK527" i="1"/>
  <c r="BL527" i="1"/>
  <c r="BM527" i="1"/>
  <c r="BP527" i="1"/>
  <c r="BR527" i="1"/>
  <c r="I528" i="1"/>
  <c r="J528" i="1"/>
  <c r="K528" i="1"/>
  <c r="L528" i="1"/>
  <c r="M528" i="1"/>
  <c r="N528" i="1"/>
  <c r="O528" i="1"/>
  <c r="P528" i="1"/>
  <c r="Q528" i="1"/>
  <c r="R528" i="1"/>
  <c r="S528" i="1"/>
  <c r="T528" i="1"/>
  <c r="U528" i="1"/>
  <c r="V528" i="1"/>
  <c r="W528" i="1"/>
  <c r="X528" i="1"/>
  <c r="Y528" i="1"/>
  <c r="Z528" i="1"/>
  <c r="AA528" i="1"/>
  <c r="AB528" i="1"/>
  <c r="AC528" i="1"/>
  <c r="AD528" i="1"/>
  <c r="AE528" i="1"/>
  <c r="AF528" i="1"/>
  <c r="AG528" i="1"/>
  <c r="AH528" i="1"/>
  <c r="AI528" i="1"/>
  <c r="AP528" i="1"/>
  <c r="AQ528" i="1"/>
  <c r="AR528" i="1"/>
  <c r="AS528" i="1"/>
  <c r="AU528" i="1"/>
  <c r="AV528" i="1"/>
  <c r="AX528" i="1"/>
  <c r="BK528" i="1"/>
  <c r="BL528" i="1"/>
  <c r="BM528" i="1"/>
  <c r="BP528" i="1"/>
  <c r="BR528" i="1"/>
  <c r="I520" i="1"/>
  <c r="J520" i="1"/>
  <c r="K520" i="1"/>
  <c r="L520" i="1"/>
  <c r="M520" i="1"/>
  <c r="N520" i="1"/>
  <c r="O520" i="1"/>
  <c r="P520" i="1"/>
  <c r="Q520" i="1"/>
  <c r="R520" i="1"/>
  <c r="S520" i="1"/>
  <c r="T520" i="1"/>
  <c r="U520" i="1"/>
  <c r="V520" i="1"/>
  <c r="W520" i="1"/>
  <c r="X520" i="1"/>
  <c r="Y520" i="1"/>
  <c r="Z520" i="1"/>
  <c r="AA520" i="1"/>
  <c r="AB520" i="1"/>
  <c r="AC520" i="1"/>
  <c r="AD520" i="1"/>
  <c r="AE520" i="1"/>
  <c r="AF520" i="1"/>
  <c r="AG520" i="1"/>
  <c r="AH520" i="1"/>
  <c r="AI520" i="1"/>
  <c r="AP520" i="1"/>
  <c r="AQ520" i="1"/>
  <c r="AR520" i="1"/>
  <c r="AS520" i="1"/>
  <c r="AU520" i="1"/>
  <c r="AV520" i="1"/>
  <c r="AX520" i="1"/>
  <c r="BK520" i="1"/>
  <c r="BL520" i="1"/>
  <c r="BM520" i="1"/>
  <c r="BP520" i="1"/>
  <c r="BR520" i="1"/>
  <c r="I521" i="1"/>
  <c r="J521" i="1"/>
  <c r="K521" i="1"/>
  <c r="L521" i="1"/>
  <c r="M521" i="1"/>
  <c r="N521" i="1"/>
  <c r="O521" i="1"/>
  <c r="P521" i="1"/>
  <c r="Q521" i="1"/>
  <c r="R521" i="1"/>
  <c r="S521" i="1"/>
  <c r="T521" i="1"/>
  <c r="U521" i="1"/>
  <c r="V521" i="1"/>
  <c r="W521" i="1"/>
  <c r="X521" i="1"/>
  <c r="Y521" i="1"/>
  <c r="Z521" i="1"/>
  <c r="AA521" i="1"/>
  <c r="AB521" i="1"/>
  <c r="AC521" i="1"/>
  <c r="AD521" i="1"/>
  <c r="AE521" i="1"/>
  <c r="AF521" i="1"/>
  <c r="AG521" i="1"/>
  <c r="AH521" i="1"/>
  <c r="AI521" i="1"/>
  <c r="AP521" i="1"/>
  <c r="AQ521" i="1"/>
  <c r="AR521" i="1"/>
  <c r="AS521" i="1"/>
  <c r="AU521" i="1"/>
  <c r="AV521" i="1"/>
  <c r="AX521" i="1"/>
  <c r="BK521" i="1"/>
  <c r="BL521" i="1"/>
  <c r="BM521" i="1"/>
  <c r="BP521" i="1"/>
  <c r="BR521" i="1"/>
  <c r="I522" i="1"/>
  <c r="J522" i="1"/>
  <c r="K522" i="1"/>
  <c r="L522" i="1"/>
  <c r="M522" i="1"/>
  <c r="N522" i="1"/>
  <c r="O522" i="1"/>
  <c r="P522" i="1"/>
  <c r="Q522" i="1"/>
  <c r="R522" i="1"/>
  <c r="S522" i="1"/>
  <c r="T522" i="1"/>
  <c r="U522" i="1"/>
  <c r="V522" i="1"/>
  <c r="W522" i="1"/>
  <c r="X522" i="1"/>
  <c r="Y522" i="1"/>
  <c r="Z522" i="1"/>
  <c r="AA522" i="1"/>
  <c r="AB522" i="1"/>
  <c r="AC522" i="1"/>
  <c r="AD522" i="1"/>
  <c r="AE522" i="1"/>
  <c r="AF522" i="1"/>
  <c r="AG522" i="1"/>
  <c r="AH522" i="1"/>
  <c r="AI522" i="1"/>
  <c r="AP522" i="1"/>
  <c r="AQ522" i="1"/>
  <c r="AR522" i="1"/>
  <c r="AS522" i="1"/>
  <c r="AU522" i="1"/>
  <c r="AV522" i="1"/>
  <c r="AX522" i="1"/>
  <c r="BK522" i="1"/>
  <c r="BL522" i="1"/>
  <c r="BM522" i="1"/>
  <c r="BP522" i="1"/>
  <c r="BR522" i="1"/>
  <c r="I523" i="1"/>
  <c r="J523" i="1"/>
  <c r="K523" i="1"/>
  <c r="L523" i="1"/>
  <c r="M523" i="1"/>
  <c r="N523" i="1"/>
  <c r="O523" i="1"/>
  <c r="P523" i="1"/>
  <c r="Q523" i="1"/>
  <c r="R523" i="1"/>
  <c r="S523" i="1"/>
  <c r="T523" i="1"/>
  <c r="U523" i="1"/>
  <c r="V523" i="1"/>
  <c r="W523" i="1"/>
  <c r="X523" i="1"/>
  <c r="Y523" i="1"/>
  <c r="Z523" i="1"/>
  <c r="AA523" i="1"/>
  <c r="AB523" i="1"/>
  <c r="AC523" i="1"/>
  <c r="AD523" i="1"/>
  <c r="AE523" i="1"/>
  <c r="AF523" i="1"/>
  <c r="AG523" i="1"/>
  <c r="AH523" i="1"/>
  <c r="AI523" i="1"/>
  <c r="AP523" i="1"/>
  <c r="AQ523" i="1"/>
  <c r="AR523" i="1"/>
  <c r="AS523" i="1"/>
  <c r="AU523" i="1"/>
  <c r="AV523" i="1"/>
  <c r="AX523" i="1"/>
  <c r="BK523" i="1"/>
  <c r="BL523" i="1"/>
  <c r="BM523" i="1"/>
  <c r="BP523" i="1"/>
  <c r="BR523" i="1"/>
  <c r="I510" i="1"/>
  <c r="J510" i="1"/>
  <c r="K510" i="1"/>
  <c r="L510" i="1"/>
  <c r="M510" i="1"/>
  <c r="N510" i="1"/>
  <c r="O510" i="1"/>
  <c r="P510" i="1"/>
  <c r="Q510" i="1"/>
  <c r="R510" i="1"/>
  <c r="S510" i="1"/>
  <c r="T510" i="1"/>
  <c r="U510" i="1"/>
  <c r="V510" i="1"/>
  <c r="W510" i="1"/>
  <c r="X510" i="1"/>
  <c r="Y510" i="1"/>
  <c r="Z510" i="1"/>
  <c r="AA510" i="1"/>
  <c r="AB510" i="1"/>
  <c r="AC510" i="1"/>
  <c r="AD510" i="1"/>
  <c r="AE510" i="1"/>
  <c r="AF510" i="1"/>
  <c r="AG510" i="1"/>
  <c r="AH510" i="1"/>
  <c r="AI510" i="1"/>
  <c r="AP510" i="1"/>
  <c r="AQ510" i="1"/>
  <c r="AR510" i="1"/>
  <c r="AS510" i="1"/>
  <c r="AU510" i="1"/>
  <c r="AV510" i="1"/>
  <c r="AX510" i="1"/>
  <c r="BK510" i="1"/>
  <c r="BL510" i="1"/>
  <c r="BM510" i="1"/>
  <c r="BP510" i="1"/>
  <c r="BR510" i="1"/>
  <c r="I511" i="1"/>
  <c r="J511" i="1"/>
  <c r="K511" i="1"/>
  <c r="L511" i="1"/>
  <c r="M511" i="1"/>
  <c r="N511" i="1"/>
  <c r="O511" i="1"/>
  <c r="P511" i="1"/>
  <c r="Q511" i="1"/>
  <c r="R511" i="1"/>
  <c r="S511" i="1"/>
  <c r="T511" i="1"/>
  <c r="U511" i="1"/>
  <c r="V511" i="1"/>
  <c r="W511" i="1"/>
  <c r="X511" i="1"/>
  <c r="Y511" i="1"/>
  <c r="Z511" i="1"/>
  <c r="AA511" i="1"/>
  <c r="AB511" i="1"/>
  <c r="AC511" i="1"/>
  <c r="AD511" i="1"/>
  <c r="AE511" i="1"/>
  <c r="AF511" i="1"/>
  <c r="AG511" i="1"/>
  <c r="AH511" i="1"/>
  <c r="AI511" i="1"/>
  <c r="AP511" i="1"/>
  <c r="AQ511" i="1"/>
  <c r="AR511" i="1"/>
  <c r="AS511" i="1"/>
  <c r="AU511" i="1"/>
  <c r="AV511" i="1"/>
  <c r="AX511" i="1"/>
  <c r="BK511" i="1"/>
  <c r="BL511" i="1"/>
  <c r="BM511" i="1"/>
  <c r="BP511" i="1"/>
  <c r="BR511" i="1"/>
  <c r="I512" i="1"/>
  <c r="J512" i="1"/>
  <c r="K512" i="1"/>
  <c r="L512" i="1"/>
  <c r="M512" i="1"/>
  <c r="N512" i="1"/>
  <c r="O512" i="1"/>
  <c r="P512" i="1"/>
  <c r="Q512" i="1"/>
  <c r="R512" i="1"/>
  <c r="S512" i="1"/>
  <c r="T512" i="1"/>
  <c r="U512" i="1"/>
  <c r="V512" i="1"/>
  <c r="W512" i="1"/>
  <c r="X512" i="1"/>
  <c r="Y512" i="1"/>
  <c r="Z512" i="1"/>
  <c r="AA512" i="1"/>
  <c r="AB512" i="1"/>
  <c r="AC512" i="1"/>
  <c r="AD512" i="1"/>
  <c r="AE512" i="1"/>
  <c r="AF512" i="1"/>
  <c r="AG512" i="1"/>
  <c r="AH512" i="1"/>
  <c r="AI512" i="1"/>
  <c r="AP512" i="1"/>
  <c r="AQ512" i="1"/>
  <c r="AR512" i="1"/>
  <c r="AS512" i="1"/>
  <c r="AU512" i="1"/>
  <c r="AV512" i="1"/>
  <c r="AX512" i="1"/>
  <c r="BK512" i="1"/>
  <c r="BL512" i="1"/>
  <c r="BM512" i="1"/>
  <c r="BP512" i="1"/>
  <c r="BR512" i="1"/>
  <c r="I513" i="1"/>
  <c r="J513" i="1"/>
  <c r="K513" i="1"/>
  <c r="L513" i="1"/>
  <c r="M513" i="1"/>
  <c r="N513" i="1"/>
  <c r="O513" i="1"/>
  <c r="P513" i="1"/>
  <c r="Q513" i="1"/>
  <c r="R513" i="1"/>
  <c r="S513" i="1"/>
  <c r="T513" i="1"/>
  <c r="U513" i="1"/>
  <c r="V513" i="1"/>
  <c r="W513" i="1"/>
  <c r="X513" i="1"/>
  <c r="Y513" i="1"/>
  <c r="Z513" i="1"/>
  <c r="AA513" i="1"/>
  <c r="AB513" i="1"/>
  <c r="AC513" i="1"/>
  <c r="AD513" i="1"/>
  <c r="AE513" i="1"/>
  <c r="AF513" i="1"/>
  <c r="AG513" i="1"/>
  <c r="AH513" i="1"/>
  <c r="AI513" i="1"/>
  <c r="AP513" i="1"/>
  <c r="AQ513" i="1"/>
  <c r="AR513" i="1"/>
  <c r="AS513" i="1"/>
  <c r="AU513" i="1"/>
  <c r="AV513" i="1"/>
  <c r="AX513" i="1"/>
  <c r="BK513" i="1"/>
  <c r="BL513" i="1"/>
  <c r="BM513" i="1"/>
  <c r="BP513" i="1"/>
  <c r="BR513" i="1"/>
  <c r="I514" i="1"/>
  <c r="J514" i="1"/>
  <c r="K514" i="1"/>
  <c r="L514" i="1"/>
  <c r="M514" i="1"/>
  <c r="N514" i="1"/>
  <c r="O514" i="1"/>
  <c r="P514" i="1"/>
  <c r="Q514" i="1"/>
  <c r="R514" i="1"/>
  <c r="S514" i="1"/>
  <c r="T514" i="1"/>
  <c r="U514" i="1"/>
  <c r="V514" i="1"/>
  <c r="W514" i="1"/>
  <c r="X514" i="1"/>
  <c r="Y514" i="1"/>
  <c r="Z514" i="1"/>
  <c r="AA514" i="1"/>
  <c r="AB514" i="1"/>
  <c r="AC514" i="1"/>
  <c r="AD514" i="1"/>
  <c r="AE514" i="1"/>
  <c r="AF514" i="1"/>
  <c r="AG514" i="1"/>
  <c r="AH514" i="1"/>
  <c r="AI514" i="1"/>
  <c r="AP514" i="1"/>
  <c r="AQ514" i="1"/>
  <c r="AR514" i="1"/>
  <c r="AS514" i="1"/>
  <c r="AU514" i="1"/>
  <c r="AV514" i="1"/>
  <c r="AX514" i="1"/>
  <c r="BK514" i="1"/>
  <c r="BL514" i="1"/>
  <c r="BM514" i="1"/>
  <c r="BP514" i="1"/>
  <c r="BR514" i="1"/>
  <c r="I515" i="1"/>
  <c r="J515" i="1"/>
  <c r="K515" i="1"/>
  <c r="L515" i="1"/>
  <c r="M515" i="1"/>
  <c r="N515" i="1"/>
  <c r="O515" i="1"/>
  <c r="P515" i="1"/>
  <c r="Q515" i="1"/>
  <c r="R515" i="1"/>
  <c r="S515" i="1"/>
  <c r="T515" i="1"/>
  <c r="U515" i="1"/>
  <c r="V515" i="1"/>
  <c r="W515" i="1"/>
  <c r="X515" i="1"/>
  <c r="Y515" i="1"/>
  <c r="Z515" i="1"/>
  <c r="AA515" i="1"/>
  <c r="AB515" i="1"/>
  <c r="AC515" i="1"/>
  <c r="AD515" i="1"/>
  <c r="AE515" i="1"/>
  <c r="AF515" i="1"/>
  <c r="AG515" i="1"/>
  <c r="AH515" i="1"/>
  <c r="AI515" i="1"/>
  <c r="AP515" i="1"/>
  <c r="AQ515" i="1"/>
  <c r="AR515" i="1"/>
  <c r="AS515" i="1"/>
  <c r="AU515" i="1"/>
  <c r="AV515" i="1"/>
  <c r="AX515" i="1"/>
  <c r="BK515" i="1"/>
  <c r="BL515" i="1"/>
  <c r="BM515" i="1"/>
  <c r="BP515" i="1"/>
  <c r="BR515" i="1"/>
  <c r="I516" i="1"/>
  <c r="J516" i="1"/>
  <c r="K516" i="1"/>
  <c r="L516" i="1"/>
  <c r="M516" i="1"/>
  <c r="N516" i="1"/>
  <c r="O516" i="1"/>
  <c r="P516" i="1"/>
  <c r="Q516" i="1"/>
  <c r="R516" i="1"/>
  <c r="S516" i="1"/>
  <c r="T516" i="1"/>
  <c r="U516" i="1"/>
  <c r="V516" i="1"/>
  <c r="W516" i="1"/>
  <c r="X516" i="1"/>
  <c r="Y516" i="1"/>
  <c r="Z516" i="1"/>
  <c r="AA516" i="1"/>
  <c r="AB516" i="1"/>
  <c r="AC516" i="1"/>
  <c r="AD516" i="1"/>
  <c r="AE516" i="1"/>
  <c r="AF516" i="1"/>
  <c r="AG516" i="1"/>
  <c r="AH516" i="1"/>
  <c r="AI516" i="1"/>
  <c r="AP516" i="1"/>
  <c r="AQ516" i="1"/>
  <c r="AR516" i="1"/>
  <c r="AS516" i="1"/>
  <c r="AU516" i="1"/>
  <c r="AV516" i="1"/>
  <c r="AX516" i="1"/>
  <c r="BK516" i="1"/>
  <c r="BL516" i="1"/>
  <c r="BM516" i="1"/>
  <c r="BP516" i="1"/>
  <c r="BR516" i="1"/>
  <c r="I517" i="1"/>
  <c r="J517" i="1"/>
  <c r="K517" i="1"/>
  <c r="L517" i="1"/>
  <c r="M517" i="1"/>
  <c r="N517" i="1"/>
  <c r="O517" i="1"/>
  <c r="P517" i="1"/>
  <c r="Q517" i="1"/>
  <c r="R517" i="1"/>
  <c r="S517" i="1"/>
  <c r="T517" i="1"/>
  <c r="U517" i="1"/>
  <c r="V517" i="1"/>
  <c r="W517" i="1"/>
  <c r="X517" i="1"/>
  <c r="Y517" i="1"/>
  <c r="Z517" i="1"/>
  <c r="AA517" i="1"/>
  <c r="AB517" i="1"/>
  <c r="AC517" i="1"/>
  <c r="AD517" i="1"/>
  <c r="AE517" i="1"/>
  <c r="AF517" i="1"/>
  <c r="AG517" i="1"/>
  <c r="AH517" i="1"/>
  <c r="AI517" i="1"/>
  <c r="AP517" i="1"/>
  <c r="AQ517" i="1"/>
  <c r="AR517" i="1"/>
  <c r="AS517" i="1"/>
  <c r="AU517" i="1"/>
  <c r="AV517" i="1"/>
  <c r="AX517" i="1"/>
  <c r="BK517" i="1"/>
  <c r="BL517" i="1"/>
  <c r="BM517" i="1"/>
  <c r="BP517" i="1"/>
  <c r="BR517" i="1"/>
  <c r="I518" i="1"/>
  <c r="J518" i="1"/>
  <c r="K518" i="1"/>
  <c r="L518" i="1"/>
  <c r="M518" i="1"/>
  <c r="N518" i="1"/>
  <c r="O518" i="1"/>
  <c r="P518" i="1"/>
  <c r="Q518" i="1"/>
  <c r="R518" i="1"/>
  <c r="S518" i="1"/>
  <c r="T518" i="1"/>
  <c r="U518" i="1"/>
  <c r="V518" i="1"/>
  <c r="W518" i="1"/>
  <c r="X518" i="1"/>
  <c r="Y518" i="1"/>
  <c r="Z518" i="1"/>
  <c r="AA518" i="1"/>
  <c r="AB518" i="1"/>
  <c r="AC518" i="1"/>
  <c r="AD518" i="1"/>
  <c r="AE518" i="1"/>
  <c r="AF518" i="1"/>
  <c r="AG518" i="1"/>
  <c r="AH518" i="1"/>
  <c r="AI518" i="1"/>
  <c r="AP518" i="1"/>
  <c r="AQ518" i="1"/>
  <c r="AR518" i="1"/>
  <c r="AS518" i="1"/>
  <c r="AU518" i="1"/>
  <c r="AV518" i="1"/>
  <c r="AX518" i="1"/>
  <c r="BK518" i="1"/>
  <c r="BL518" i="1"/>
  <c r="BM518" i="1"/>
  <c r="BP518" i="1"/>
  <c r="BR518" i="1"/>
  <c r="I519" i="1"/>
  <c r="J519" i="1"/>
  <c r="K519" i="1"/>
  <c r="L519" i="1"/>
  <c r="M519" i="1"/>
  <c r="N519" i="1"/>
  <c r="O519" i="1"/>
  <c r="P519" i="1"/>
  <c r="Q519" i="1"/>
  <c r="R519" i="1"/>
  <c r="S519" i="1"/>
  <c r="T519" i="1"/>
  <c r="U519" i="1"/>
  <c r="V519" i="1"/>
  <c r="W519" i="1"/>
  <c r="X519" i="1"/>
  <c r="Y519" i="1"/>
  <c r="Z519" i="1"/>
  <c r="AA519" i="1"/>
  <c r="AB519" i="1"/>
  <c r="AC519" i="1"/>
  <c r="AD519" i="1"/>
  <c r="AE519" i="1"/>
  <c r="AF519" i="1"/>
  <c r="AG519" i="1"/>
  <c r="AH519" i="1"/>
  <c r="AI519" i="1"/>
  <c r="AP519" i="1"/>
  <c r="AQ519" i="1"/>
  <c r="AR519" i="1"/>
  <c r="AS519" i="1"/>
  <c r="AU519" i="1"/>
  <c r="AV519" i="1"/>
  <c r="AX519" i="1"/>
  <c r="BK519" i="1"/>
  <c r="BL519" i="1"/>
  <c r="BM519" i="1"/>
  <c r="BP519" i="1"/>
  <c r="BR519" i="1"/>
  <c r="I497" i="1"/>
  <c r="J497" i="1"/>
  <c r="K497" i="1"/>
  <c r="L497" i="1"/>
  <c r="M497" i="1"/>
  <c r="N497" i="1"/>
  <c r="O497" i="1"/>
  <c r="P497" i="1"/>
  <c r="Q497" i="1"/>
  <c r="R497" i="1"/>
  <c r="S497" i="1"/>
  <c r="T497" i="1"/>
  <c r="U497" i="1"/>
  <c r="V497" i="1"/>
  <c r="W497" i="1"/>
  <c r="X497" i="1"/>
  <c r="Y497" i="1"/>
  <c r="Z497" i="1"/>
  <c r="AA497" i="1"/>
  <c r="AB497" i="1"/>
  <c r="AC497" i="1"/>
  <c r="AD497" i="1"/>
  <c r="AE497" i="1"/>
  <c r="AF497" i="1"/>
  <c r="AG497" i="1"/>
  <c r="AH497" i="1"/>
  <c r="AI497" i="1"/>
  <c r="AP497" i="1"/>
  <c r="AQ497" i="1"/>
  <c r="AR497" i="1"/>
  <c r="AS497" i="1"/>
  <c r="AU497" i="1"/>
  <c r="AV497" i="1"/>
  <c r="AX497" i="1"/>
  <c r="BK497" i="1"/>
  <c r="BL497" i="1"/>
  <c r="BM497" i="1"/>
  <c r="BP497" i="1"/>
  <c r="BR497" i="1"/>
  <c r="I504" i="1"/>
  <c r="J504" i="1"/>
  <c r="K504" i="1"/>
  <c r="L504" i="1"/>
  <c r="M504" i="1"/>
  <c r="N504" i="1"/>
  <c r="O504" i="1"/>
  <c r="P504" i="1"/>
  <c r="Q504" i="1"/>
  <c r="R504" i="1"/>
  <c r="S504" i="1"/>
  <c r="T504" i="1"/>
  <c r="U504" i="1"/>
  <c r="V504" i="1"/>
  <c r="W504" i="1"/>
  <c r="X504" i="1"/>
  <c r="Y504" i="1"/>
  <c r="Z504" i="1"/>
  <c r="AA504" i="1"/>
  <c r="AB504" i="1"/>
  <c r="AC504" i="1"/>
  <c r="AD504" i="1"/>
  <c r="AE504" i="1"/>
  <c r="AF504" i="1"/>
  <c r="AG504" i="1"/>
  <c r="AH504" i="1"/>
  <c r="AI504" i="1"/>
  <c r="AP504" i="1"/>
  <c r="AQ504" i="1"/>
  <c r="AR504" i="1"/>
  <c r="AS504" i="1"/>
  <c r="AU504" i="1"/>
  <c r="AV504" i="1"/>
  <c r="AX504" i="1"/>
  <c r="BK504" i="1"/>
  <c r="BL504" i="1"/>
  <c r="BM504" i="1"/>
  <c r="BP504" i="1"/>
  <c r="BR504" i="1"/>
  <c r="I505" i="1"/>
  <c r="J505" i="1"/>
  <c r="K505" i="1"/>
  <c r="L505" i="1"/>
  <c r="M505" i="1"/>
  <c r="N505" i="1"/>
  <c r="O505" i="1"/>
  <c r="P505" i="1"/>
  <c r="Q505" i="1"/>
  <c r="R505" i="1"/>
  <c r="S505" i="1"/>
  <c r="T505" i="1"/>
  <c r="U505" i="1"/>
  <c r="V505" i="1"/>
  <c r="W505" i="1"/>
  <c r="X505" i="1"/>
  <c r="Z505" i="1"/>
  <c r="AA505" i="1"/>
  <c r="AB505" i="1"/>
  <c r="AC505" i="1"/>
  <c r="AD505" i="1"/>
  <c r="AE505" i="1"/>
  <c r="AF505" i="1"/>
  <c r="AG505" i="1"/>
  <c r="AH505" i="1"/>
  <c r="AI505" i="1"/>
  <c r="AP505" i="1"/>
  <c r="AQ505" i="1"/>
  <c r="AR505" i="1"/>
  <c r="AS505" i="1"/>
  <c r="AU505" i="1"/>
  <c r="AV505" i="1"/>
  <c r="AX505" i="1"/>
  <c r="BK505" i="1"/>
  <c r="BL505" i="1"/>
  <c r="BM505" i="1"/>
  <c r="BP505" i="1"/>
  <c r="BR505" i="1"/>
  <c r="I506" i="1"/>
  <c r="J506" i="1"/>
  <c r="K506" i="1"/>
  <c r="L506" i="1"/>
  <c r="M506" i="1"/>
  <c r="N506" i="1"/>
  <c r="O506" i="1"/>
  <c r="P506" i="1"/>
  <c r="Q506" i="1"/>
  <c r="R506" i="1"/>
  <c r="S506" i="1"/>
  <c r="T506" i="1"/>
  <c r="U506" i="1"/>
  <c r="V506" i="1"/>
  <c r="W506" i="1"/>
  <c r="X506" i="1"/>
  <c r="Y506" i="1"/>
  <c r="Z506" i="1"/>
  <c r="AA506" i="1"/>
  <c r="AB506" i="1"/>
  <c r="AC506" i="1"/>
  <c r="AD506" i="1"/>
  <c r="AE506" i="1"/>
  <c r="AF506" i="1"/>
  <c r="AG506" i="1"/>
  <c r="AH506" i="1"/>
  <c r="AI506" i="1"/>
  <c r="AP506" i="1"/>
  <c r="AQ506" i="1"/>
  <c r="AR506" i="1"/>
  <c r="AS506" i="1"/>
  <c r="AU506" i="1"/>
  <c r="AV506" i="1"/>
  <c r="AX506" i="1"/>
  <c r="BK506" i="1"/>
  <c r="BL506" i="1"/>
  <c r="BM506" i="1"/>
  <c r="BP506" i="1"/>
  <c r="BR506" i="1"/>
  <c r="I507" i="1"/>
  <c r="J507" i="1"/>
  <c r="K507" i="1"/>
  <c r="L507" i="1"/>
  <c r="M507" i="1"/>
  <c r="N507" i="1"/>
  <c r="O507" i="1"/>
  <c r="P507" i="1"/>
  <c r="Q507" i="1"/>
  <c r="R507" i="1"/>
  <c r="S507" i="1"/>
  <c r="T507" i="1"/>
  <c r="U507" i="1"/>
  <c r="V507" i="1"/>
  <c r="W507" i="1"/>
  <c r="X507" i="1"/>
  <c r="Y507" i="1"/>
  <c r="Z507" i="1"/>
  <c r="AA507" i="1"/>
  <c r="AB507" i="1"/>
  <c r="AC507" i="1"/>
  <c r="AD507" i="1"/>
  <c r="AE507" i="1"/>
  <c r="AF507" i="1"/>
  <c r="AG507" i="1"/>
  <c r="AH507" i="1"/>
  <c r="AI507" i="1"/>
  <c r="AP507" i="1"/>
  <c r="AQ507" i="1"/>
  <c r="AR507" i="1"/>
  <c r="AS507" i="1"/>
  <c r="AU507" i="1"/>
  <c r="AV507" i="1"/>
  <c r="AX507" i="1"/>
  <c r="BK507" i="1"/>
  <c r="BL507" i="1"/>
  <c r="BM507" i="1"/>
  <c r="BP507" i="1"/>
  <c r="BR507" i="1"/>
  <c r="I508" i="1"/>
  <c r="J508" i="1"/>
  <c r="K508" i="1"/>
  <c r="L508" i="1"/>
  <c r="M508" i="1"/>
  <c r="N508" i="1"/>
  <c r="O508" i="1"/>
  <c r="P508" i="1"/>
  <c r="Q508" i="1"/>
  <c r="R508" i="1"/>
  <c r="S508" i="1"/>
  <c r="T508" i="1"/>
  <c r="U508" i="1"/>
  <c r="V508" i="1"/>
  <c r="W508" i="1"/>
  <c r="X508" i="1"/>
  <c r="Y508" i="1"/>
  <c r="Z508" i="1"/>
  <c r="AA508" i="1"/>
  <c r="AB508" i="1"/>
  <c r="AC508" i="1"/>
  <c r="AD508" i="1"/>
  <c r="AE508" i="1"/>
  <c r="AF508" i="1"/>
  <c r="AG508" i="1"/>
  <c r="AH508" i="1"/>
  <c r="AI508" i="1"/>
  <c r="AP508" i="1"/>
  <c r="AQ508" i="1"/>
  <c r="AR508" i="1"/>
  <c r="AS508" i="1"/>
  <c r="AU508" i="1"/>
  <c r="AV508" i="1"/>
  <c r="AX508" i="1"/>
  <c r="BK508" i="1"/>
  <c r="BL508" i="1"/>
  <c r="BM508" i="1"/>
  <c r="BP508" i="1"/>
  <c r="BR508" i="1"/>
  <c r="I509" i="1"/>
  <c r="J509" i="1"/>
  <c r="K509" i="1"/>
  <c r="L509" i="1"/>
  <c r="M509" i="1"/>
  <c r="N509" i="1"/>
  <c r="O509" i="1"/>
  <c r="P509" i="1"/>
  <c r="Q509" i="1"/>
  <c r="R509" i="1"/>
  <c r="S509" i="1"/>
  <c r="T509" i="1"/>
  <c r="U509" i="1"/>
  <c r="V509" i="1"/>
  <c r="W509" i="1"/>
  <c r="X509" i="1"/>
  <c r="Y509" i="1"/>
  <c r="Z509" i="1"/>
  <c r="AA509" i="1"/>
  <c r="AB509" i="1"/>
  <c r="AC509" i="1"/>
  <c r="AD509" i="1"/>
  <c r="AE509" i="1"/>
  <c r="AF509" i="1"/>
  <c r="AG509" i="1"/>
  <c r="AH509" i="1"/>
  <c r="AI509" i="1"/>
  <c r="AP509" i="1"/>
  <c r="AQ509" i="1"/>
  <c r="AR509" i="1"/>
  <c r="AS509" i="1"/>
  <c r="AU509" i="1"/>
  <c r="AV509" i="1"/>
  <c r="AX509" i="1"/>
  <c r="BK509" i="1"/>
  <c r="BL509" i="1"/>
  <c r="BM509" i="1"/>
  <c r="BP509" i="1"/>
  <c r="BR509" i="1"/>
  <c r="I502" i="1"/>
  <c r="J502" i="1"/>
  <c r="K502" i="1"/>
  <c r="L502" i="1"/>
  <c r="M502" i="1"/>
  <c r="N502" i="1"/>
  <c r="O502" i="1"/>
  <c r="P502" i="1"/>
  <c r="Q502" i="1"/>
  <c r="R502" i="1"/>
  <c r="S502" i="1"/>
  <c r="T502" i="1"/>
  <c r="U502" i="1"/>
  <c r="V502" i="1"/>
  <c r="W502" i="1"/>
  <c r="X502" i="1"/>
  <c r="Y502" i="1"/>
  <c r="Z502" i="1"/>
  <c r="AA502" i="1"/>
  <c r="AB502" i="1"/>
  <c r="AC502" i="1"/>
  <c r="AD502" i="1"/>
  <c r="AE502" i="1"/>
  <c r="AF502" i="1"/>
  <c r="AG502" i="1"/>
  <c r="AH502" i="1"/>
  <c r="AI502" i="1"/>
  <c r="AP502" i="1"/>
  <c r="AQ502" i="1"/>
  <c r="AR502" i="1"/>
  <c r="AS502" i="1"/>
  <c r="AU502" i="1"/>
  <c r="AV502" i="1"/>
  <c r="AX502" i="1"/>
  <c r="BK502" i="1"/>
  <c r="BL502" i="1"/>
  <c r="BM502" i="1"/>
  <c r="BP502" i="1"/>
  <c r="BR502" i="1"/>
  <c r="I503" i="1"/>
  <c r="J503" i="1"/>
  <c r="K503" i="1"/>
  <c r="L503" i="1"/>
  <c r="M503" i="1"/>
  <c r="N503" i="1"/>
  <c r="O503" i="1"/>
  <c r="P503" i="1"/>
  <c r="Q503" i="1"/>
  <c r="R503" i="1"/>
  <c r="S503" i="1"/>
  <c r="T503" i="1"/>
  <c r="U503" i="1"/>
  <c r="V503" i="1"/>
  <c r="W503" i="1"/>
  <c r="X503" i="1"/>
  <c r="Y503" i="1"/>
  <c r="Z503" i="1"/>
  <c r="AA503" i="1"/>
  <c r="AB503" i="1"/>
  <c r="AC503" i="1"/>
  <c r="AD503" i="1"/>
  <c r="AE503" i="1"/>
  <c r="AF503" i="1"/>
  <c r="AG503" i="1"/>
  <c r="AH503" i="1"/>
  <c r="AI503" i="1"/>
  <c r="AP503" i="1"/>
  <c r="AQ503" i="1"/>
  <c r="AR503" i="1"/>
  <c r="AS503" i="1"/>
  <c r="AU503" i="1"/>
  <c r="AV503" i="1"/>
  <c r="AX503" i="1"/>
  <c r="BK503" i="1"/>
  <c r="BL503" i="1"/>
  <c r="BM503" i="1"/>
  <c r="BP503" i="1"/>
  <c r="BR503" i="1"/>
  <c r="I498" i="1"/>
  <c r="J498" i="1"/>
  <c r="K498" i="1"/>
  <c r="L498" i="1"/>
  <c r="M498" i="1"/>
  <c r="N498" i="1"/>
  <c r="O498" i="1"/>
  <c r="P498" i="1"/>
  <c r="Q498" i="1"/>
  <c r="R498" i="1"/>
  <c r="S498" i="1"/>
  <c r="T498" i="1"/>
  <c r="U498" i="1"/>
  <c r="V498" i="1"/>
  <c r="W498" i="1"/>
  <c r="X498" i="1"/>
  <c r="Y498" i="1"/>
  <c r="Z498" i="1"/>
  <c r="AA498" i="1"/>
  <c r="AB498" i="1"/>
  <c r="AC498" i="1"/>
  <c r="AD498" i="1"/>
  <c r="AE498" i="1"/>
  <c r="AF498" i="1"/>
  <c r="AG498" i="1"/>
  <c r="AH498" i="1"/>
  <c r="AI498" i="1"/>
  <c r="AP498" i="1"/>
  <c r="AQ498" i="1"/>
  <c r="AR498" i="1"/>
  <c r="AS498" i="1"/>
  <c r="AU498" i="1"/>
  <c r="AV498" i="1"/>
  <c r="AX498" i="1"/>
  <c r="BK498" i="1"/>
  <c r="BL498" i="1"/>
  <c r="BM498" i="1"/>
  <c r="BP498" i="1"/>
  <c r="BR498" i="1"/>
  <c r="I499" i="1"/>
  <c r="J499" i="1"/>
  <c r="K499" i="1"/>
  <c r="L499" i="1"/>
  <c r="M499" i="1"/>
  <c r="N499" i="1"/>
  <c r="O499" i="1"/>
  <c r="P499" i="1"/>
  <c r="Q499" i="1"/>
  <c r="R499" i="1"/>
  <c r="S499" i="1"/>
  <c r="T499" i="1"/>
  <c r="U499" i="1"/>
  <c r="V499" i="1"/>
  <c r="W499" i="1"/>
  <c r="X499" i="1"/>
  <c r="Y499" i="1"/>
  <c r="Z499" i="1"/>
  <c r="AA499" i="1"/>
  <c r="AB499" i="1"/>
  <c r="AC499" i="1"/>
  <c r="AD499" i="1"/>
  <c r="AE499" i="1"/>
  <c r="AF499" i="1"/>
  <c r="AG499" i="1"/>
  <c r="AH499" i="1"/>
  <c r="AI499" i="1"/>
  <c r="AP499" i="1"/>
  <c r="AQ499" i="1"/>
  <c r="AR499" i="1"/>
  <c r="AS499" i="1"/>
  <c r="AU499" i="1"/>
  <c r="AV499" i="1"/>
  <c r="AX499" i="1"/>
  <c r="BK499" i="1"/>
  <c r="BL499" i="1"/>
  <c r="BM499" i="1"/>
  <c r="BP499" i="1"/>
  <c r="BR499" i="1"/>
  <c r="I500" i="1"/>
  <c r="J500" i="1"/>
  <c r="K500" i="1"/>
  <c r="L500" i="1"/>
  <c r="M500" i="1"/>
  <c r="N500" i="1"/>
  <c r="O500" i="1"/>
  <c r="P500" i="1"/>
  <c r="Q500" i="1"/>
  <c r="R500" i="1"/>
  <c r="S500" i="1"/>
  <c r="T500" i="1"/>
  <c r="U500" i="1"/>
  <c r="V500" i="1"/>
  <c r="W500" i="1"/>
  <c r="X500" i="1"/>
  <c r="Y500" i="1"/>
  <c r="Z500" i="1"/>
  <c r="AA500" i="1"/>
  <c r="AB500" i="1"/>
  <c r="AC500" i="1"/>
  <c r="AD500" i="1"/>
  <c r="AE500" i="1"/>
  <c r="AF500" i="1"/>
  <c r="AG500" i="1"/>
  <c r="AH500" i="1"/>
  <c r="AI500" i="1"/>
  <c r="AP500" i="1"/>
  <c r="AQ500" i="1"/>
  <c r="AR500" i="1"/>
  <c r="AS500" i="1"/>
  <c r="AU500" i="1"/>
  <c r="AV500" i="1"/>
  <c r="AX500" i="1"/>
  <c r="BK500" i="1"/>
  <c r="BL500" i="1"/>
  <c r="BM500" i="1"/>
  <c r="BP500" i="1"/>
  <c r="BR500" i="1"/>
  <c r="I501" i="1"/>
  <c r="J501" i="1"/>
  <c r="K501" i="1"/>
  <c r="L501" i="1"/>
  <c r="M501" i="1"/>
  <c r="N501" i="1"/>
  <c r="O501" i="1"/>
  <c r="P501" i="1"/>
  <c r="Q501" i="1"/>
  <c r="R501" i="1"/>
  <c r="S501" i="1"/>
  <c r="T501" i="1"/>
  <c r="U501" i="1"/>
  <c r="V501" i="1"/>
  <c r="W501" i="1"/>
  <c r="X501" i="1"/>
  <c r="Y501" i="1"/>
  <c r="Z501" i="1"/>
  <c r="AA501" i="1"/>
  <c r="AB501" i="1"/>
  <c r="AC501" i="1"/>
  <c r="AD501" i="1"/>
  <c r="AE501" i="1"/>
  <c r="AF501" i="1"/>
  <c r="AG501" i="1"/>
  <c r="AH501" i="1"/>
  <c r="AI501" i="1"/>
  <c r="AP501" i="1"/>
  <c r="AQ501" i="1"/>
  <c r="AR501" i="1"/>
  <c r="AS501" i="1"/>
  <c r="AU501" i="1"/>
  <c r="AV501" i="1"/>
  <c r="AX501" i="1"/>
  <c r="BK501" i="1"/>
  <c r="BL501" i="1"/>
  <c r="BM501" i="1"/>
  <c r="BP501" i="1"/>
  <c r="BR501" i="1"/>
  <c r="I494" i="1"/>
  <c r="J494" i="1"/>
  <c r="K494" i="1"/>
  <c r="L494" i="1"/>
  <c r="M494" i="1"/>
  <c r="N494" i="1"/>
  <c r="O494" i="1"/>
  <c r="P494" i="1"/>
  <c r="Q494" i="1"/>
  <c r="R494" i="1"/>
  <c r="S494" i="1"/>
  <c r="T494" i="1"/>
  <c r="U494" i="1"/>
  <c r="V494" i="1"/>
  <c r="W494" i="1"/>
  <c r="X494" i="1"/>
  <c r="Y494" i="1"/>
  <c r="Z494" i="1"/>
  <c r="AA494" i="1"/>
  <c r="AB494" i="1"/>
  <c r="AC494" i="1"/>
  <c r="AD494" i="1"/>
  <c r="AE494" i="1"/>
  <c r="AF494" i="1"/>
  <c r="AG494" i="1"/>
  <c r="AH494" i="1"/>
  <c r="AI494" i="1"/>
  <c r="AP494" i="1"/>
  <c r="AQ494" i="1"/>
  <c r="AR494" i="1"/>
  <c r="AS494" i="1"/>
  <c r="AU494" i="1"/>
  <c r="AV494" i="1"/>
  <c r="AX494" i="1"/>
  <c r="BK494" i="1"/>
  <c r="BL494" i="1"/>
  <c r="BM494" i="1"/>
  <c r="BP494" i="1"/>
  <c r="BR494" i="1"/>
  <c r="I495" i="1"/>
  <c r="J495" i="1"/>
  <c r="K495" i="1"/>
  <c r="L495" i="1"/>
  <c r="M495" i="1"/>
  <c r="N495" i="1"/>
  <c r="O495" i="1"/>
  <c r="P495" i="1"/>
  <c r="Q495" i="1"/>
  <c r="R495" i="1"/>
  <c r="S495" i="1"/>
  <c r="T495" i="1"/>
  <c r="U495" i="1"/>
  <c r="V495" i="1"/>
  <c r="W495" i="1"/>
  <c r="X495" i="1"/>
  <c r="Y495" i="1"/>
  <c r="Z495" i="1"/>
  <c r="AA495" i="1"/>
  <c r="AB495" i="1"/>
  <c r="AC495" i="1"/>
  <c r="AD495" i="1"/>
  <c r="AE495" i="1"/>
  <c r="AF495" i="1"/>
  <c r="AG495" i="1"/>
  <c r="AH495" i="1"/>
  <c r="AI495" i="1"/>
  <c r="AP495" i="1"/>
  <c r="AQ495" i="1"/>
  <c r="AR495" i="1"/>
  <c r="AS495" i="1"/>
  <c r="AU495" i="1"/>
  <c r="AV495" i="1"/>
  <c r="AX495" i="1"/>
  <c r="BK495" i="1"/>
  <c r="BL495" i="1"/>
  <c r="BM495" i="1"/>
  <c r="BP495" i="1"/>
  <c r="BR495" i="1"/>
  <c r="I496" i="1"/>
  <c r="J496" i="1"/>
  <c r="K496" i="1"/>
  <c r="L496" i="1"/>
  <c r="M496" i="1"/>
  <c r="N496" i="1"/>
  <c r="O496" i="1"/>
  <c r="P496" i="1"/>
  <c r="Q496" i="1"/>
  <c r="R496" i="1"/>
  <c r="S496" i="1"/>
  <c r="T496" i="1"/>
  <c r="U496" i="1"/>
  <c r="V496" i="1"/>
  <c r="W496" i="1"/>
  <c r="X496" i="1"/>
  <c r="Y496" i="1"/>
  <c r="Z496" i="1"/>
  <c r="AA496" i="1"/>
  <c r="AB496" i="1"/>
  <c r="AC496" i="1"/>
  <c r="AD496" i="1"/>
  <c r="AE496" i="1"/>
  <c r="AF496" i="1"/>
  <c r="AG496" i="1"/>
  <c r="AH496" i="1"/>
  <c r="AI496" i="1"/>
  <c r="AP496" i="1"/>
  <c r="AQ496" i="1"/>
  <c r="AR496" i="1"/>
  <c r="AS496" i="1"/>
  <c r="AU496" i="1"/>
  <c r="AV496" i="1"/>
  <c r="AX496" i="1"/>
  <c r="BK496" i="1"/>
  <c r="BL496" i="1"/>
  <c r="BM496" i="1"/>
  <c r="BP496" i="1"/>
  <c r="BR496" i="1"/>
  <c r="I489" i="1"/>
  <c r="J489" i="1"/>
  <c r="K489" i="1"/>
  <c r="L489" i="1"/>
  <c r="M489" i="1"/>
  <c r="N489" i="1"/>
  <c r="O489" i="1"/>
  <c r="P489" i="1"/>
  <c r="Q489" i="1"/>
  <c r="R489" i="1"/>
  <c r="S489" i="1"/>
  <c r="T489" i="1"/>
  <c r="U489" i="1"/>
  <c r="V489" i="1"/>
  <c r="W489" i="1"/>
  <c r="X489" i="1"/>
  <c r="Y489" i="1"/>
  <c r="Z489" i="1"/>
  <c r="AA489" i="1"/>
  <c r="AB489" i="1"/>
  <c r="AC489" i="1"/>
  <c r="AD489" i="1"/>
  <c r="AE489" i="1"/>
  <c r="AF489" i="1"/>
  <c r="AG489" i="1"/>
  <c r="AH489" i="1"/>
  <c r="AI489" i="1"/>
  <c r="AP489" i="1"/>
  <c r="AQ489" i="1"/>
  <c r="AR489" i="1"/>
  <c r="AS489" i="1"/>
  <c r="AU489" i="1"/>
  <c r="AV489" i="1"/>
  <c r="AX489" i="1"/>
  <c r="BK489" i="1"/>
  <c r="BL489" i="1"/>
  <c r="BM489" i="1"/>
  <c r="BP489" i="1"/>
  <c r="BR489" i="1"/>
  <c r="I490" i="1"/>
  <c r="J490" i="1"/>
  <c r="K490" i="1"/>
  <c r="L490" i="1"/>
  <c r="M490" i="1"/>
  <c r="N490" i="1"/>
  <c r="O490" i="1"/>
  <c r="P490" i="1"/>
  <c r="Q490" i="1"/>
  <c r="R490" i="1"/>
  <c r="S490" i="1"/>
  <c r="T490" i="1"/>
  <c r="U490" i="1"/>
  <c r="V490" i="1"/>
  <c r="W490" i="1"/>
  <c r="X490" i="1"/>
  <c r="Y490" i="1"/>
  <c r="Z490" i="1"/>
  <c r="AA490" i="1"/>
  <c r="AB490" i="1"/>
  <c r="AC490" i="1"/>
  <c r="AD490" i="1"/>
  <c r="AE490" i="1"/>
  <c r="AF490" i="1"/>
  <c r="AG490" i="1"/>
  <c r="AH490" i="1"/>
  <c r="AI490" i="1"/>
  <c r="AP490" i="1"/>
  <c r="AQ490" i="1"/>
  <c r="AR490" i="1"/>
  <c r="AS490" i="1"/>
  <c r="AU490" i="1"/>
  <c r="AV490" i="1"/>
  <c r="AX490" i="1"/>
  <c r="BK490" i="1"/>
  <c r="BL490" i="1"/>
  <c r="BM490" i="1"/>
  <c r="BP490" i="1"/>
  <c r="BR490" i="1"/>
  <c r="I491" i="1"/>
  <c r="J491" i="1"/>
  <c r="K491" i="1"/>
  <c r="L491" i="1"/>
  <c r="M491" i="1"/>
  <c r="N491" i="1"/>
  <c r="O491" i="1"/>
  <c r="P491" i="1"/>
  <c r="Q491" i="1"/>
  <c r="R491" i="1"/>
  <c r="S491" i="1"/>
  <c r="T491" i="1"/>
  <c r="U491" i="1"/>
  <c r="V491" i="1"/>
  <c r="W491" i="1"/>
  <c r="X491" i="1"/>
  <c r="Y491" i="1"/>
  <c r="Z491" i="1"/>
  <c r="AA491" i="1"/>
  <c r="AB491" i="1"/>
  <c r="AC491" i="1"/>
  <c r="AD491" i="1"/>
  <c r="AE491" i="1"/>
  <c r="AF491" i="1"/>
  <c r="AG491" i="1"/>
  <c r="AH491" i="1"/>
  <c r="AI491" i="1"/>
  <c r="AP491" i="1"/>
  <c r="AQ491" i="1"/>
  <c r="AR491" i="1"/>
  <c r="AS491" i="1"/>
  <c r="AU491" i="1"/>
  <c r="AV491" i="1"/>
  <c r="AX491" i="1"/>
  <c r="BK491" i="1"/>
  <c r="BL491" i="1"/>
  <c r="BM491" i="1"/>
  <c r="BP491" i="1"/>
  <c r="BR491" i="1"/>
  <c r="I492" i="1"/>
  <c r="J492" i="1"/>
  <c r="K492" i="1"/>
  <c r="L492" i="1"/>
  <c r="M492" i="1"/>
  <c r="N492" i="1"/>
  <c r="O492" i="1"/>
  <c r="P492" i="1"/>
  <c r="Q492" i="1"/>
  <c r="R492" i="1"/>
  <c r="S492" i="1"/>
  <c r="T492" i="1"/>
  <c r="U492" i="1"/>
  <c r="V492" i="1"/>
  <c r="W492" i="1"/>
  <c r="X492" i="1"/>
  <c r="Y492" i="1"/>
  <c r="Z492" i="1"/>
  <c r="AA492" i="1"/>
  <c r="AB492" i="1"/>
  <c r="AC492" i="1"/>
  <c r="AD492" i="1"/>
  <c r="AE492" i="1"/>
  <c r="AF492" i="1"/>
  <c r="AG492" i="1"/>
  <c r="AH492" i="1"/>
  <c r="AI492" i="1"/>
  <c r="AP492" i="1"/>
  <c r="AQ492" i="1"/>
  <c r="AR492" i="1"/>
  <c r="AS492" i="1"/>
  <c r="AU492" i="1"/>
  <c r="AV492" i="1"/>
  <c r="AX492" i="1"/>
  <c r="BK492" i="1"/>
  <c r="BL492" i="1"/>
  <c r="BM492" i="1"/>
  <c r="BP492" i="1"/>
  <c r="BR492" i="1"/>
  <c r="I493" i="1"/>
  <c r="J493" i="1"/>
  <c r="K493" i="1"/>
  <c r="L493" i="1"/>
  <c r="M493" i="1"/>
  <c r="N493" i="1"/>
  <c r="O493" i="1"/>
  <c r="P493" i="1"/>
  <c r="Q493" i="1"/>
  <c r="R493" i="1"/>
  <c r="S493" i="1"/>
  <c r="T493" i="1"/>
  <c r="U493" i="1"/>
  <c r="V493" i="1"/>
  <c r="W493" i="1"/>
  <c r="X493" i="1"/>
  <c r="Y493" i="1"/>
  <c r="Z493" i="1"/>
  <c r="AA493" i="1"/>
  <c r="AB493" i="1"/>
  <c r="AC493" i="1"/>
  <c r="AD493" i="1"/>
  <c r="AE493" i="1"/>
  <c r="AF493" i="1"/>
  <c r="AG493" i="1"/>
  <c r="AH493" i="1"/>
  <c r="AI493" i="1"/>
  <c r="AP493" i="1"/>
  <c r="AQ493" i="1"/>
  <c r="AR493" i="1"/>
  <c r="AS493" i="1"/>
  <c r="AU493" i="1"/>
  <c r="AV493" i="1"/>
  <c r="AX493" i="1"/>
  <c r="BK493" i="1"/>
  <c r="BL493" i="1"/>
  <c r="BM493" i="1"/>
  <c r="BP493" i="1"/>
  <c r="BR493" i="1"/>
  <c r="I484" i="1"/>
  <c r="J484" i="1"/>
  <c r="K484" i="1"/>
  <c r="L484" i="1"/>
  <c r="M484" i="1"/>
  <c r="N484" i="1"/>
  <c r="O484" i="1"/>
  <c r="P484" i="1"/>
  <c r="Q484" i="1"/>
  <c r="R484" i="1"/>
  <c r="S484" i="1"/>
  <c r="T484" i="1"/>
  <c r="U484" i="1"/>
  <c r="V484" i="1"/>
  <c r="W484" i="1"/>
  <c r="X484" i="1"/>
  <c r="Y484" i="1"/>
  <c r="Z484" i="1"/>
  <c r="AA484" i="1"/>
  <c r="AB484" i="1"/>
  <c r="AC484" i="1"/>
  <c r="AD484" i="1"/>
  <c r="AE484" i="1"/>
  <c r="AF484" i="1"/>
  <c r="AG484" i="1"/>
  <c r="AH484" i="1"/>
  <c r="AI484" i="1"/>
  <c r="AP484" i="1"/>
  <c r="AQ484" i="1"/>
  <c r="AR484" i="1"/>
  <c r="AS484" i="1"/>
  <c r="AU484" i="1"/>
  <c r="AV484" i="1"/>
  <c r="AX484" i="1"/>
  <c r="BK484" i="1"/>
  <c r="BL484" i="1"/>
  <c r="BM484" i="1"/>
  <c r="BP484" i="1"/>
  <c r="BR484" i="1"/>
  <c r="I485" i="1"/>
  <c r="J485" i="1"/>
  <c r="K485" i="1"/>
  <c r="L485" i="1"/>
  <c r="M485" i="1"/>
  <c r="N485" i="1"/>
  <c r="O485" i="1"/>
  <c r="P485" i="1"/>
  <c r="Q485" i="1"/>
  <c r="R485" i="1"/>
  <c r="S485" i="1"/>
  <c r="T485" i="1"/>
  <c r="U485" i="1"/>
  <c r="V485" i="1"/>
  <c r="W485" i="1"/>
  <c r="X485" i="1"/>
  <c r="Y485" i="1"/>
  <c r="Z485" i="1"/>
  <c r="AA485" i="1"/>
  <c r="AB485" i="1"/>
  <c r="AC485" i="1"/>
  <c r="AD485" i="1"/>
  <c r="AE485" i="1"/>
  <c r="AF485" i="1"/>
  <c r="AG485" i="1"/>
  <c r="AH485" i="1"/>
  <c r="AI485" i="1"/>
  <c r="AP485" i="1"/>
  <c r="AQ485" i="1"/>
  <c r="AR485" i="1"/>
  <c r="AS485" i="1"/>
  <c r="AU485" i="1"/>
  <c r="AV485" i="1"/>
  <c r="AX485" i="1"/>
  <c r="BK485" i="1"/>
  <c r="BL485" i="1"/>
  <c r="BM485" i="1"/>
  <c r="BP485" i="1"/>
  <c r="BR485" i="1"/>
  <c r="I486" i="1"/>
  <c r="J486" i="1"/>
  <c r="K486" i="1"/>
  <c r="L486" i="1"/>
  <c r="M486" i="1"/>
  <c r="N486" i="1"/>
  <c r="O486" i="1"/>
  <c r="P486" i="1"/>
  <c r="Q486" i="1"/>
  <c r="R486" i="1"/>
  <c r="S486" i="1"/>
  <c r="T486" i="1"/>
  <c r="U486" i="1"/>
  <c r="V486" i="1"/>
  <c r="W486" i="1"/>
  <c r="X486" i="1"/>
  <c r="Y486" i="1"/>
  <c r="Z486" i="1"/>
  <c r="AA486" i="1"/>
  <c r="AB486" i="1"/>
  <c r="AC486" i="1"/>
  <c r="AD486" i="1"/>
  <c r="AE486" i="1"/>
  <c r="AF486" i="1"/>
  <c r="AG486" i="1"/>
  <c r="AH486" i="1"/>
  <c r="AI486" i="1"/>
  <c r="AP486" i="1"/>
  <c r="AQ486" i="1"/>
  <c r="AR486" i="1"/>
  <c r="AS486" i="1"/>
  <c r="AU486" i="1"/>
  <c r="AV486" i="1"/>
  <c r="AX486" i="1"/>
  <c r="BK486" i="1"/>
  <c r="BL486" i="1"/>
  <c r="BM486" i="1"/>
  <c r="BP486" i="1"/>
  <c r="BR486" i="1"/>
  <c r="I487" i="1"/>
  <c r="J487" i="1"/>
  <c r="K487" i="1"/>
  <c r="L487" i="1"/>
  <c r="M487" i="1"/>
  <c r="N487" i="1"/>
  <c r="O487" i="1"/>
  <c r="P487" i="1"/>
  <c r="Q487" i="1"/>
  <c r="R487" i="1"/>
  <c r="S487" i="1"/>
  <c r="T487" i="1"/>
  <c r="U487" i="1"/>
  <c r="V487" i="1"/>
  <c r="W487" i="1"/>
  <c r="X487" i="1"/>
  <c r="Y487" i="1"/>
  <c r="Z487" i="1"/>
  <c r="AA487" i="1"/>
  <c r="AB487" i="1"/>
  <c r="AC487" i="1"/>
  <c r="AD487" i="1"/>
  <c r="AE487" i="1"/>
  <c r="AF487" i="1"/>
  <c r="AG487" i="1"/>
  <c r="AH487" i="1"/>
  <c r="AI487" i="1"/>
  <c r="AP487" i="1"/>
  <c r="AQ487" i="1"/>
  <c r="AR487" i="1"/>
  <c r="AS487" i="1"/>
  <c r="AU487" i="1"/>
  <c r="AV487" i="1"/>
  <c r="AX487" i="1"/>
  <c r="BK487" i="1"/>
  <c r="BL487" i="1"/>
  <c r="BM487" i="1"/>
  <c r="BP487" i="1"/>
  <c r="BR487" i="1"/>
  <c r="I488" i="1"/>
  <c r="J488" i="1"/>
  <c r="K488" i="1"/>
  <c r="L488" i="1"/>
  <c r="M488" i="1"/>
  <c r="N488" i="1"/>
  <c r="O488" i="1"/>
  <c r="P488" i="1"/>
  <c r="Q488" i="1"/>
  <c r="R488" i="1"/>
  <c r="S488" i="1"/>
  <c r="T488" i="1"/>
  <c r="U488" i="1"/>
  <c r="V488" i="1"/>
  <c r="W488" i="1"/>
  <c r="X488" i="1"/>
  <c r="Y488" i="1"/>
  <c r="Z488" i="1"/>
  <c r="AA488" i="1"/>
  <c r="AB488" i="1"/>
  <c r="AC488" i="1"/>
  <c r="AD488" i="1"/>
  <c r="AE488" i="1"/>
  <c r="AF488" i="1"/>
  <c r="AG488" i="1"/>
  <c r="AH488" i="1"/>
  <c r="AI488" i="1"/>
  <c r="AP488" i="1"/>
  <c r="AQ488" i="1"/>
  <c r="AR488" i="1"/>
  <c r="AS488" i="1"/>
  <c r="AU488" i="1"/>
  <c r="AV488" i="1"/>
  <c r="AX488" i="1"/>
  <c r="BK488" i="1"/>
  <c r="BL488" i="1"/>
  <c r="BM488" i="1"/>
  <c r="BP488" i="1"/>
  <c r="BR488" i="1"/>
  <c r="I480" i="1"/>
  <c r="J480" i="1"/>
  <c r="K480" i="1"/>
  <c r="L480" i="1"/>
  <c r="M480" i="1"/>
  <c r="N480" i="1"/>
  <c r="O480" i="1"/>
  <c r="P480" i="1"/>
  <c r="Q480" i="1"/>
  <c r="R480" i="1"/>
  <c r="S480" i="1"/>
  <c r="T480" i="1"/>
  <c r="U480" i="1"/>
  <c r="V480" i="1"/>
  <c r="W480" i="1"/>
  <c r="X480" i="1"/>
  <c r="Y480" i="1"/>
  <c r="Z480" i="1"/>
  <c r="AA480" i="1"/>
  <c r="AB480" i="1"/>
  <c r="AC480" i="1"/>
  <c r="AD480" i="1"/>
  <c r="AE480" i="1"/>
  <c r="AF480" i="1"/>
  <c r="AG480" i="1"/>
  <c r="AH480" i="1"/>
  <c r="AI480" i="1"/>
  <c r="AP480" i="1"/>
  <c r="AQ480" i="1"/>
  <c r="AR480" i="1"/>
  <c r="AS480" i="1"/>
  <c r="AU480" i="1"/>
  <c r="AV480" i="1"/>
  <c r="AX480" i="1"/>
  <c r="BK480" i="1"/>
  <c r="BL480" i="1"/>
  <c r="BM480" i="1"/>
  <c r="BP480" i="1"/>
  <c r="BR480" i="1"/>
  <c r="I481" i="1"/>
  <c r="J481" i="1"/>
  <c r="K481" i="1"/>
  <c r="L481" i="1"/>
  <c r="M481" i="1"/>
  <c r="N481" i="1"/>
  <c r="O481" i="1"/>
  <c r="P481" i="1"/>
  <c r="Q481" i="1"/>
  <c r="R481" i="1"/>
  <c r="S481" i="1"/>
  <c r="T481" i="1"/>
  <c r="U481" i="1"/>
  <c r="V481" i="1"/>
  <c r="W481" i="1"/>
  <c r="X481" i="1"/>
  <c r="Y481" i="1"/>
  <c r="Z481" i="1"/>
  <c r="AA481" i="1"/>
  <c r="AB481" i="1"/>
  <c r="AC481" i="1"/>
  <c r="AD481" i="1"/>
  <c r="AE481" i="1"/>
  <c r="AF481" i="1"/>
  <c r="AG481" i="1"/>
  <c r="AH481" i="1"/>
  <c r="AI481" i="1"/>
  <c r="AP481" i="1"/>
  <c r="AQ481" i="1"/>
  <c r="AR481" i="1"/>
  <c r="AS481" i="1"/>
  <c r="AU481" i="1"/>
  <c r="AV481" i="1"/>
  <c r="AX481" i="1"/>
  <c r="BK481" i="1"/>
  <c r="BL481" i="1"/>
  <c r="BM481" i="1"/>
  <c r="BP481" i="1"/>
  <c r="BR481" i="1"/>
  <c r="I482" i="1"/>
  <c r="J482" i="1"/>
  <c r="K482" i="1"/>
  <c r="L482" i="1"/>
  <c r="M482" i="1"/>
  <c r="N482" i="1"/>
  <c r="O482" i="1"/>
  <c r="P482" i="1"/>
  <c r="Q482" i="1"/>
  <c r="R482" i="1"/>
  <c r="S482" i="1"/>
  <c r="T482" i="1"/>
  <c r="U482" i="1"/>
  <c r="V482" i="1"/>
  <c r="W482" i="1"/>
  <c r="X482" i="1"/>
  <c r="Y482" i="1"/>
  <c r="Z482" i="1"/>
  <c r="AA482" i="1"/>
  <c r="AB482" i="1"/>
  <c r="AC482" i="1"/>
  <c r="AD482" i="1"/>
  <c r="AE482" i="1"/>
  <c r="AF482" i="1"/>
  <c r="AG482" i="1"/>
  <c r="AH482" i="1"/>
  <c r="AI482" i="1"/>
  <c r="AP482" i="1"/>
  <c r="AQ482" i="1"/>
  <c r="AR482" i="1"/>
  <c r="AS482" i="1"/>
  <c r="AU482" i="1"/>
  <c r="AV482" i="1"/>
  <c r="AX482" i="1"/>
  <c r="BK482" i="1"/>
  <c r="BL482" i="1"/>
  <c r="BM482" i="1"/>
  <c r="BP482" i="1"/>
  <c r="BR482" i="1"/>
  <c r="I483" i="1"/>
  <c r="J483" i="1"/>
  <c r="K483" i="1"/>
  <c r="L483" i="1"/>
  <c r="M483" i="1"/>
  <c r="N483" i="1"/>
  <c r="O483" i="1"/>
  <c r="P483" i="1"/>
  <c r="Q483" i="1"/>
  <c r="R483" i="1"/>
  <c r="S483" i="1"/>
  <c r="T483" i="1"/>
  <c r="U483" i="1"/>
  <c r="V483" i="1"/>
  <c r="W483" i="1"/>
  <c r="X483" i="1"/>
  <c r="Y483" i="1"/>
  <c r="Z483" i="1"/>
  <c r="AA483" i="1"/>
  <c r="AB483" i="1"/>
  <c r="AC483" i="1"/>
  <c r="AD483" i="1"/>
  <c r="AE483" i="1"/>
  <c r="AF483" i="1"/>
  <c r="AG483" i="1"/>
  <c r="AH483" i="1"/>
  <c r="AI483" i="1"/>
  <c r="AP483" i="1"/>
  <c r="AQ483" i="1"/>
  <c r="AR483" i="1"/>
  <c r="AS483" i="1"/>
  <c r="AU483" i="1"/>
  <c r="AV483" i="1"/>
  <c r="AX483" i="1"/>
  <c r="BK483" i="1"/>
  <c r="BL483" i="1"/>
  <c r="BM483" i="1"/>
  <c r="BP483" i="1"/>
  <c r="BR483" i="1"/>
  <c r="I478" i="1"/>
  <c r="J478" i="1"/>
  <c r="K478" i="1"/>
  <c r="L478" i="1"/>
  <c r="M478" i="1"/>
  <c r="N478" i="1"/>
  <c r="O478" i="1"/>
  <c r="P478" i="1"/>
  <c r="Q478" i="1"/>
  <c r="R478" i="1"/>
  <c r="S478" i="1"/>
  <c r="T478" i="1"/>
  <c r="U478" i="1"/>
  <c r="V478" i="1"/>
  <c r="W478" i="1"/>
  <c r="X478" i="1"/>
  <c r="Y478" i="1"/>
  <c r="Z478" i="1"/>
  <c r="AA478" i="1"/>
  <c r="AB478" i="1"/>
  <c r="AC478" i="1"/>
  <c r="AD478" i="1"/>
  <c r="AE478" i="1"/>
  <c r="AF478" i="1"/>
  <c r="AG478" i="1"/>
  <c r="AH478" i="1"/>
  <c r="AI478" i="1"/>
  <c r="AP478" i="1"/>
  <c r="AQ478" i="1"/>
  <c r="AR478" i="1"/>
  <c r="AS478" i="1"/>
  <c r="AU478" i="1"/>
  <c r="AV478" i="1"/>
  <c r="AX478" i="1"/>
  <c r="BK478" i="1"/>
  <c r="BL478" i="1"/>
  <c r="BM478" i="1"/>
  <c r="BP478" i="1"/>
  <c r="BR478" i="1"/>
  <c r="I479" i="1"/>
  <c r="J479" i="1"/>
  <c r="K479" i="1"/>
  <c r="L479" i="1"/>
  <c r="M479" i="1"/>
  <c r="N479" i="1"/>
  <c r="O479" i="1"/>
  <c r="P479" i="1"/>
  <c r="Q479" i="1"/>
  <c r="R479" i="1"/>
  <c r="S479" i="1"/>
  <c r="T479" i="1"/>
  <c r="U479" i="1"/>
  <c r="V479" i="1"/>
  <c r="W479" i="1"/>
  <c r="X479" i="1"/>
  <c r="Y479" i="1"/>
  <c r="Z479" i="1"/>
  <c r="AA479" i="1"/>
  <c r="AB479" i="1"/>
  <c r="AC479" i="1"/>
  <c r="AD479" i="1"/>
  <c r="AE479" i="1"/>
  <c r="AF479" i="1"/>
  <c r="AG479" i="1"/>
  <c r="AH479" i="1"/>
  <c r="AI479" i="1"/>
  <c r="AP479" i="1"/>
  <c r="AQ479" i="1"/>
  <c r="AR479" i="1"/>
  <c r="AS479" i="1"/>
  <c r="AU479" i="1"/>
  <c r="AV479" i="1"/>
  <c r="AX479" i="1"/>
  <c r="BK479" i="1"/>
  <c r="BL479" i="1"/>
  <c r="BM479" i="1"/>
  <c r="BP479" i="1"/>
  <c r="BR479" i="1"/>
  <c r="I477" i="1"/>
  <c r="J477" i="1"/>
  <c r="K477" i="1"/>
  <c r="L477" i="1"/>
  <c r="M477" i="1"/>
  <c r="N477" i="1"/>
  <c r="O477" i="1"/>
  <c r="P477" i="1"/>
  <c r="Q477" i="1"/>
  <c r="R477" i="1"/>
  <c r="S477" i="1"/>
  <c r="T477" i="1"/>
  <c r="U477" i="1"/>
  <c r="V477" i="1"/>
  <c r="W477" i="1"/>
  <c r="X477" i="1"/>
  <c r="Y477" i="1"/>
  <c r="Z477" i="1"/>
  <c r="AA477" i="1"/>
  <c r="AB477" i="1"/>
  <c r="AC477" i="1"/>
  <c r="AD477" i="1"/>
  <c r="AE477" i="1"/>
  <c r="AF477" i="1"/>
  <c r="AG477" i="1"/>
  <c r="AH477" i="1"/>
  <c r="AI477" i="1"/>
  <c r="AP477" i="1"/>
  <c r="AQ477" i="1"/>
  <c r="AR477" i="1"/>
  <c r="AS477" i="1"/>
  <c r="AU477" i="1"/>
  <c r="AV477" i="1"/>
  <c r="AX477" i="1"/>
  <c r="BK477" i="1"/>
  <c r="BL477" i="1"/>
  <c r="BM477" i="1"/>
  <c r="BP477" i="1"/>
  <c r="BR477" i="1"/>
  <c r="I470" i="1"/>
  <c r="J470" i="1"/>
  <c r="K470" i="1"/>
  <c r="L470" i="1"/>
  <c r="M470" i="1"/>
  <c r="N470" i="1"/>
  <c r="O470" i="1"/>
  <c r="P470" i="1"/>
  <c r="Q470" i="1"/>
  <c r="R470" i="1"/>
  <c r="S470" i="1"/>
  <c r="T470" i="1"/>
  <c r="U470" i="1"/>
  <c r="V470" i="1"/>
  <c r="W470" i="1"/>
  <c r="X470" i="1"/>
  <c r="Y470" i="1"/>
  <c r="Z470" i="1"/>
  <c r="AA470" i="1"/>
  <c r="AB470" i="1"/>
  <c r="AC470" i="1"/>
  <c r="AD470" i="1"/>
  <c r="AE470" i="1"/>
  <c r="AF470" i="1"/>
  <c r="AG470" i="1"/>
  <c r="AH470" i="1"/>
  <c r="AI470" i="1"/>
  <c r="AP470" i="1"/>
  <c r="AQ470" i="1"/>
  <c r="AR470" i="1"/>
  <c r="AS470" i="1"/>
  <c r="AU470" i="1"/>
  <c r="AV470" i="1"/>
  <c r="AX470" i="1"/>
  <c r="BK470" i="1"/>
  <c r="BL470" i="1"/>
  <c r="BM470" i="1"/>
  <c r="BP470" i="1"/>
  <c r="BR470" i="1"/>
  <c r="I471" i="1"/>
  <c r="J471" i="1"/>
  <c r="K471" i="1"/>
  <c r="L471" i="1"/>
  <c r="M471" i="1"/>
  <c r="N471" i="1"/>
  <c r="O471" i="1"/>
  <c r="P471" i="1"/>
  <c r="Q471" i="1"/>
  <c r="R471" i="1"/>
  <c r="S471" i="1"/>
  <c r="T471" i="1"/>
  <c r="U471" i="1"/>
  <c r="V471" i="1"/>
  <c r="W471" i="1"/>
  <c r="X471" i="1"/>
  <c r="Y471" i="1"/>
  <c r="Z471" i="1"/>
  <c r="AA471" i="1"/>
  <c r="AB471" i="1"/>
  <c r="AC471" i="1"/>
  <c r="AD471" i="1"/>
  <c r="AE471" i="1"/>
  <c r="AF471" i="1"/>
  <c r="AG471" i="1"/>
  <c r="AH471" i="1"/>
  <c r="AI471" i="1"/>
  <c r="AP471" i="1"/>
  <c r="AQ471" i="1"/>
  <c r="AR471" i="1"/>
  <c r="AS471" i="1"/>
  <c r="AU471" i="1"/>
  <c r="AV471" i="1"/>
  <c r="AX471" i="1"/>
  <c r="BK471" i="1"/>
  <c r="BL471" i="1"/>
  <c r="BM471" i="1"/>
  <c r="BP471" i="1"/>
  <c r="BR471" i="1"/>
  <c r="I472" i="1"/>
  <c r="J472" i="1"/>
  <c r="K472" i="1"/>
  <c r="L472" i="1"/>
  <c r="M472" i="1"/>
  <c r="N472" i="1"/>
  <c r="O472" i="1"/>
  <c r="P472" i="1"/>
  <c r="Q472" i="1"/>
  <c r="R472" i="1"/>
  <c r="S472" i="1"/>
  <c r="T472" i="1"/>
  <c r="U472" i="1"/>
  <c r="V472" i="1"/>
  <c r="W472" i="1"/>
  <c r="X472" i="1"/>
  <c r="Y472" i="1"/>
  <c r="Z472" i="1"/>
  <c r="AA472" i="1"/>
  <c r="AB472" i="1"/>
  <c r="AC472" i="1"/>
  <c r="AD472" i="1"/>
  <c r="AE472" i="1"/>
  <c r="AF472" i="1"/>
  <c r="AG472" i="1"/>
  <c r="AH472" i="1"/>
  <c r="AI472" i="1"/>
  <c r="AP472" i="1"/>
  <c r="AQ472" i="1"/>
  <c r="AR472" i="1"/>
  <c r="AS472" i="1"/>
  <c r="AU472" i="1"/>
  <c r="AV472" i="1"/>
  <c r="AX472" i="1"/>
  <c r="BK472" i="1"/>
  <c r="BL472" i="1"/>
  <c r="BM472" i="1"/>
  <c r="BP472" i="1"/>
  <c r="BR472" i="1"/>
  <c r="I473" i="1"/>
  <c r="J473" i="1"/>
  <c r="K473" i="1"/>
  <c r="L473" i="1"/>
  <c r="M473" i="1"/>
  <c r="N473" i="1"/>
  <c r="O473" i="1"/>
  <c r="P473" i="1"/>
  <c r="Q473" i="1"/>
  <c r="R473" i="1"/>
  <c r="S473" i="1"/>
  <c r="T473" i="1"/>
  <c r="U473" i="1"/>
  <c r="V473" i="1"/>
  <c r="W473" i="1"/>
  <c r="X473" i="1"/>
  <c r="Y473" i="1"/>
  <c r="Z473" i="1"/>
  <c r="AA473" i="1"/>
  <c r="AB473" i="1"/>
  <c r="AC473" i="1"/>
  <c r="AD473" i="1"/>
  <c r="AE473" i="1"/>
  <c r="AF473" i="1"/>
  <c r="AG473" i="1"/>
  <c r="AH473" i="1"/>
  <c r="AI473" i="1"/>
  <c r="AP473" i="1"/>
  <c r="AQ473" i="1"/>
  <c r="AR473" i="1"/>
  <c r="AS473" i="1"/>
  <c r="AU473" i="1"/>
  <c r="AV473" i="1"/>
  <c r="AX473" i="1"/>
  <c r="BK473" i="1"/>
  <c r="BL473" i="1"/>
  <c r="BM473" i="1"/>
  <c r="BP473" i="1"/>
  <c r="BR473" i="1"/>
  <c r="I474" i="1"/>
  <c r="J474" i="1"/>
  <c r="K474" i="1"/>
  <c r="L474" i="1"/>
  <c r="M474" i="1"/>
  <c r="N474" i="1"/>
  <c r="O474" i="1"/>
  <c r="P474" i="1"/>
  <c r="Q474" i="1"/>
  <c r="R474" i="1"/>
  <c r="S474" i="1"/>
  <c r="T474" i="1"/>
  <c r="U474" i="1"/>
  <c r="V474" i="1"/>
  <c r="W474" i="1"/>
  <c r="X474" i="1"/>
  <c r="Y474" i="1"/>
  <c r="Z474" i="1"/>
  <c r="AA474" i="1"/>
  <c r="AB474" i="1"/>
  <c r="AC474" i="1"/>
  <c r="AD474" i="1"/>
  <c r="AE474" i="1"/>
  <c r="AF474" i="1"/>
  <c r="AG474" i="1"/>
  <c r="AH474" i="1"/>
  <c r="AI474" i="1"/>
  <c r="AP474" i="1"/>
  <c r="AQ474" i="1"/>
  <c r="AR474" i="1"/>
  <c r="AS474" i="1"/>
  <c r="AU474" i="1"/>
  <c r="AV474" i="1"/>
  <c r="AX474" i="1"/>
  <c r="BK474" i="1"/>
  <c r="BL474" i="1"/>
  <c r="BM474" i="1"/>
  <c r="BP474" i="1"/>
  <c r="BR474" i="1"/>
  <c r="I475" i="1"/>
  <c r="J475" i="1"/>
  <c r="K475" i="1"/>
  <c r="L475" i="1"/>
  <c r="M475" i="1"/>
  <c r="N475" i="1"/>
  <c r="O475" i="1"/>
  <c r="P475" i="1"/>
  <c r="Q475" i="1"/>
  <c r="R475" i="1"/>
  <c r="S475" i="1"/>
  <c r="T475" i="1"/>
  <c r="U475" i="1"/>
  <c r="V475" i="1"/>
  <c r="W475" i="1"/>
  <c r="X475" i="1"/>
  <c r="Y475" i="1"/>
  <c r="Z475" i="1"/>
  <c r="AA475" i="1"/>
  <c r="AB475" i="1"/>
  <c r="AC475" i="1"/>
  <c r="AD475" i="1"/>
  <c r="AE475" i="1"/>
  <c r="AF475" i="1"/>
  <c r="AG475" i="1"/>
  <c r="AH475" i="1"/>
  <c r="AI475" i="1"/>
  <c r="AP475" i="1"/>
  <c r="AQ475" i="1"/>
  <c r="AR475" i="1"/>
  <c r="AS475" i="1"/>
  <c r="AU475" i="1"/>
  <c r="AV475" i="1"/>
  <c r="AX475" i="1"/>
  <c r="BK475" i="1"/>
  <c r="BL475" i="1"/>
  <c r="BM475" i="1"/>
  <c r="BP475" i="1"/>
  <c r="BR475" i="1"/>
  <c r="I476" i="1"/>
  <c r="J476" i="1"/>
  <c r="K476" i="1"/>
  <c r="L476" i="1"/>
  <c r="M476" i="1"/>
  <c r="N476" i="1"/>
  <c r="O476" i="1"/>
  <c r="P476" i="1"/>
  <c r="Q476" i="1"/>
  <c r="R476" i="1"/>
  <c r="S476" i="1"/>
  <c r="T476" i="1"/>
  <c r="U476" i="1"/>
  <c r="V476" i="1"/>
  <c r="W476" i="1"/>
  <c r="X476" i="1"/>
  <c r="Y476" i="1"/>
  <c r="Z476" i="1"/>
  <c r="AA476" i="1"/>
  <c r="AB476" i="1"/>
  <c r="AC476" i="1"/>
  <c r="AD476" i="1"/>
  <c r="AE476" i="1"/>
  <c r="AF476" i="1"/>
  <c r="AG476" i="1"/>
  <c r="AH476" i="1"/>
  <c r="AI476" i="1"/>
  <c r="AP476" i="1"/>
  <c r="AQ476" i="1"/>
  <c r="AR476" i="1"/>
  <c r="AS476" i="1"/>
  <c r="AU476" i="1"/>
  <c r="AV476" i="1"/>
  <c r="AX476" i="1"/>
  <c r="BK476" i="1"/>
  <c r="BL476" i="1"/>
  <c r="BM476" i="1"/>
  <c r="BP476" i="1"/>
  <c r="BR476" i="1"/>
  <c r="I467" i="1"/>
  <c r="J467" i="1"/>
  <c r="K467" i="1"/>
  <c r="L467" i="1"/>
  <c r="M467" i="1"/>
  <c r="N467" i="1"/>
  <c r="O467" i="1"/>
  <c r="P467" i="1"/>
  <c r="Q467" i="1"/>
  <c r="R467" i="1"/>
  <c r="S467" i="1"/>
  <c r="T467" i="1"/>
  <c r="U467" i="1"/>
  <c r="V467" i="1"/>
  <c r="W467" i="1"/>
  <c r="X467" i="1"/>
  <c r="Y467" i="1"/>
  <c r="Z467" i="1"/>
  <c r="AA467" i="1"/>
  <c r="AB467" i="1"/>
  <c r="AC467" i="1"/>
  <c r="AD467" i="1"/>
  <c r="AE467" i="1"/>
  <c r="AF467" i="1"/>
  <c r="AG467" i="1"/>
  <c r="AH467" i="1"/>
  <c r="AI467" i="1"/>
  <c r="AP467" i="1"/>
  <c r="AQ467" i="1"/>
  <c r="AR467" i="1"/>
  <c r="AS467" i="1"/>
  <c r="AU467" i="1"/>
  <c r="AV467" i="1"/>
  <c r="AX467" i="1"/>
  <c r="BK467" i="1"/>
  <c r="BL467" i="1"/>
  <c r="BM467" i="1"/>
  <c r="BP467" i="1"/>
  <c r="BR467" i="1"/>
  <c r="I468" i="1"/>
  <c r="J468" i="1"/>
  <c r="K468" i="1"/>
  <c r="L468" i="1"/>
  <c r="M468" i="1"/>
  <c r="N468" i="1"/>
  <c r="O468" i="1"/>
  <c r="P468" i="1"/>
  <c r="Q468" i="1"/>
  <c r="R468" i="1"/>
  <c r="S468" i="1"/>
  <c r="T468" i="1"/>
  <c r="U468" i="1"/>
  <c r="V468" i="1"/>
  <c r="W468" i="1"/>
  <c r="X468" i="1"/>
  <c r="Y468" i="1"/>
  <c r="Z468" i="1"/>
  <c r="AA468" i="1"/>
  <c r="AB468" i="1"/>
  <c r="AC468" i="1"/>
  <c r="AD468" i="1"/>
  <c r="AE468" i="1"/>
  <c r="AF468" i="1"/>
  <c r="AG468" i="1"/>
  <c r="AH468" i="1"/>
  <c r="AI468" i="1"/>
  <c r="AP468" i="1"/>
  <c r="AQ468" i="1"/>
  <c r="AR468" i="1"/>
  <c r="AS468" i="1"/>
  <c r="AU468" i="1"/>
  <c r="AV468" i="1"/>
  <c r="AX468" i="1"/>
  <c r="BK468" i="1"/>
  <c r="BL468" i="1"/>
  <c r="BM468" i="1"/>
  <c r="BP468" i="1"/>
  <c r="BR468" i="1"/>
  <c r="I464" i="1"/>
  <c r="J464" i="1"/>
  <c r="K464" i="1"/>
  <c r="L464" i="1"/>
  <c r="M464" i="1"/>
  <c r="N464" i="1"/>
  <c r="O464" i="1"/>
  <c r="P464" i="1"/>
  <c r="Q464" i="1"/>
  <c r="R464" i="1"/>
  <c r="S464" i="1"/>
  <c r="T464" i="1"/>
  <c r="U464" i="1"/>
  <c r="V464" i="1"/>
  <c r="W464" i="1"/>
  <c r="X464" i="1"/>
  <c r="Y464" i="1"/>
  <c r="Z464" i="1"/>
  <c r="AA464" i="1"/>
  <c r="AB464" i="1"/>
  <c r="AC464" i="1"/>
  <c r="AD464" i="1"/>
  <c r="AE464" i="1"/>
  <c r="AF464" i="1"/>
  <c r="AG464" i="1"/>
  <c r="AH464" i="1"/>
  <c r="AI464" i="1"/>
  <c r="AP464" i="1"/>
  <c r="AQ464" i="1"/>
  <c r="AR464" i="1"/>
  <c r="AS464" i="1"/>
  <c r="AU464" i="1"/>
  <c r="AV464" i="1"/>
  <c r="AX464" i="1"/>
  <c r="BK464" i="1"/>
  <c r="BL464" i="1"/>
  <c r="BM464" i="1"/>
  <c r="BP464" i="1"/>
  <c r="BR464" i="1"/>
  <c r="I465" i="1"/>
  <c r="J465" i="1"/>
  <c r="K465" i="1"/>
  <c r="L465" i="1"/>
  <c r="M465" i="1"/>
  <c r="N465" i="1"/>
  <c r="O465" i="1"/>
  <c r="P465" i="1"/>
  <c r="Q465" i="1"/>
  <c r="R465" i="1"/>
  <c r="S465" i="1"/>
  <c r="T465" i="1"/>
  <c r="U465" i="1"/>
  <c r="V465" i="1"/>
  <c r="W465" i="1"/>
  <c r="X465" i="1"/>
  <c r="Y465" i="1"/>
  <c r="Z465" i="1"/>
  <c r="AA465" i="1"/>
  <c r="AB465" i="1"/>
  <c r="AC465" i="1"/>
  <c r="AD465" i="1"/>
  <c r="AE465" i="1"/>
  <c r="AF465" i="1"/>
  <c r="AG465" i="1"/>
  <c r="AH465" i="1"/>
  <c r="AI465" i="1"/>
  <c r="AP465" i="1"/>
  <c r="AQ465" i="1"/>
  <c r="AR465" i="1"/>
  <c r="AS465" i="1"/>
  <c r="AU465" i="1"/>
  <c r="AV465" i="1"/>
  <c r="BK465" i="1"/>
  <c r="BL465" i="1"/>
  <c r="BM465" i="1"/>
  <c r="BP465" i="1"/>
  <c r="BR465" i="1"/>
  <c r="I466" i="1"/>
  <c r="J466" i="1"/>
  <c r="K466" i="1"/>
  <c r="L466" i="1"/>
  <c r="M466" i="1"/>
  <c r="N466" i="1"/>
  <c r="O466" i="1"/>
  <c r="P466" i="1"/>
  <c r="Q466" i="1"/>
  <c r="R466" i="1"/>
  <c r="S466" i="1"/>
  <c r="T466" i="1"/>
  <c r="U466" i="1"/>
  <c r="V466" i="1"/>
  <c r="W466" i="1"/>
  <c r="X466" i="1"/>
  <c r="Y466" i="1"/>
  <c r="Z466" i="1"/>
  <c r="AA466" i="1"/>
  <c r="AB466" i="1"/>
  <c r="AC466" i="1"/>
  <c r="AD466" i="1"/>
  <c r="AE466" i="1"/>
  <c r="AF466" i="1"/>
  <c r="AG466" i="1"/>
  <c r="AH466" i="1"/>
  <c r="AI466" i="1"/>
  <c r="AP466" i="1"/>
  <c r="AQ466" i="1"/>
  <c r="AR466" i="1"/>
  <c r="AS466" i="1"/>
  <c r="AU466" i="1"/>
  <c r="AV466" i="1"/>
  <c r="AX466" i="1"/>
  <c r="BK466" i="1"/>
  <c r="BL466" i="1"/>
  <c r="BM466" i="1"/>
  <c r="BP466" i="1"/>
  <c r="BR466" i="1"/>
  <c r="I463" i="1"/>
  <c r="J463" i="1"/>
  <c r="K463" i="1"/>
  <c r="L463" i="1"/>
  <c r="M463" i="1"/>
  <c r="N463" i="1"/>
  <c r="O463" i="1"/>
  <c r="P463" i="1"/>
  <c r="Q463" i="1"/>
  <c r="R463" i="1"/>
  <c r="S463" i="1"/>
  <c r="T463" i="1"/>
  <c r="U463" i="1"/>
  <c r="V463" i="1"/>
  <c r="W463" i="1"/>
  <c r="X463" i="1"/>
  <c r="Y463" i="1"/>
  <c r="Z463" i="1"/>
  <c r="AA463" i="1"/>
  <c r="AB463" i="1"/>
  <c r="AC463" i="1"/>
  <c r="AD463" i="1"/>
  <c r="AE463" i="1"/>
  <c r="AF463" i="1"/>
  <c r="AG463" i="1"/>
  <c r="AH463" i="1"/>
  <c r="AI463" i="1"/>
  <c r="AP463" i="1"/>
  <c r="AQ463" i="1"/>
  <c r="AR463" i="1"/>
  <c r="AS463" i="1"/>
  <c r="AU463" i="1"/>
  <c r="AV463" i="1"/>
  <c r="AX463" i="1"/>
  <c r="BK463" i="1"/>
  <c r="BL463" i="1"/>
  <c r="BM463" i="1"/>
  <c r="BP463" i="1"/>
  <c r="BR463" i="1"/>
  <c r="I403" i="1"/>
  <c r="J403" i="1"/>
  <c r="K403" i="1"/>
  <c r="L403" i="1"/>
  <c r="M403" i="1"/>
  <c r="N403" i="1"/>
  <c r="O403" i="1"/>
  <c r="P403" i="1"/>
  <c r="Q403" i="1"/>
  <c r="R403" i="1"/>
  <c r="S403" i="1"/>
  <c r="T403" i="1"/>
  <c r="U403" i="1"/>
  <c r="V403" i="1"/>
  <c r="W403" i="1"/>
  <c r="X403" i="1"/>
  <c r="Y403" i="1"/>
  <c r="Z403" i="1"/>
  <c r="AA403" i="1"/>
  <c r="AB403" i="1"/>
  <c r="AC403" i="1"/>
  <c r="AD403" i="1"/>
  <c r="AE403" i="1"/>
  <c r="AF403" i="1"/>
  <c r="AG403" i="1"/>
  <c r="AH403" i="1"/>
  <c r="AI403" i="1"/>
  <c r="AP403" i="1"/>
  <c r="AQ403" i="1"/>
  <c r="AR403" i="1"/>
  <c r="AS403" i="1"/>
  <c r="AU403" i="1"/>
  <c r="AV403" i="1"/>
  <c r="AX403" i="1"/>
  <c r="BK403" i="1"/>
  <c r="BL403" i="1"/>
  <c r="BM403" i="1"/>
  <c r="BP403" i="1"/>
  <c r="BR403" i="1"/>
  <c r="I460" i="1"/>
  <c r="J460" i="1"/>
  <c r="K460" i="1"/>
  <c r="L460" i="1"/>
  <c r="M460" i="1"/>
  <c r="N460" i="1"/>
  <c r="O460" i="1"/>
  <c r="P460" i="1"/>
  <c r="Q460" i="1"/>
  <c r="R460" i="1"/>
  <c r="S460" i="1"/>
  <c r="T460" i="1"/>
  <c r="U460" i="1"/>
  <c r="V460" i="1"/>
  <c r="W460" i="1"/>
  <c r="X460" i="1"/>
  <c r="Y460" i="1"/>
  <c r="Z460" i="1"/>
  <c r="AA460" i="1"/>
  <c r="AB460" i="1"/>
  <c r="AC460" i="1"/>
  <c r="AD460" i="1"/>
  <c r="AE460" i="1"/>
  <c r="AF460" i="1"/>
  <c r="AG460" i="1"/>
  <c r="AH460" i="1"/>
  <c r="AI460" i="1"/>
  <c r="AP460" i="1"/>
  <c r="AQ460" i="1"/>
  <c r="AR460" i="1"/>
  <c r="AS460" i="1"/>
  <c r="AU460" i="1"/>
  <c r="AV460" i="1"/>
  <c r="AX460" i="1"/>
  <c r="BK460" i="1"/>
  <c r="BL460" i="1"/>
  <c r="BM460" i="1"/>
  <c r="BP460" i="1"/>
  <c r="BR460" i="1"/>
  <c r="I461" i="1"/>
  <c r="J461" i="1"/>
  <c r="K461" i="1"/>
  <c r="L461" i="1"/>
  <c r="M461" i="1"/>
  <c r="N461" i="1"/>
  <c r="O461" i="1"/>
  <c r="P461" i="1"/>
  <c r="Q461" i="1"/>
  <c r="R461" i="1"/>
  <c r="S461" i="1"/>
  <c r="T461" i="1"/>
  <c r="U461" i="1"/>
  <c r="V461" i="1"/>
  <c r="W461" i="1"/>
  <c r="X461" i="1"/>
  <c r="Y461" i="1"/>
  <c r="Z461" i="1"/>
  <c r="AA461" i="1"/>
  <c r="AB461" i="1"/>
  <c r="AC461" i="1"/>
  <c r="AD461" i="1"/>
  <c r="AE461" i="1"/>
  <c r="AF461" i="1"/>
  <c r="AG461" i="1"/>
  <c r="AH461" i="1"/>
  <c r="AI461" i="1"/>
  <c r="AP461" i="1"/>
  <c r="AQ461" i="1"/>
  <c r="AR461" i="1"/>
  <c r="AS461" i="1"/>
  <c r="AU461" i="1"/>
  <c r="AV461" i="1"/>
  <c r="AX461" i="1"/>
  <c r="BK461" i="1"/>
  <c r="BL461" i="1"/>
  <c r="BM461" i="1"/>
  <c r="BP461" i="1"/>
  <c r="BR461" i="1"/>
  <c r="I462" i="1"/>
  <c r="J462" i="1"/>
  <c r="K462" i="1"/>
  <c r="L462" i="1"/>
  <c r="M462" i="1"/>
  <c r="N462" i="1"/>
  <c r="O462" i="1"/>
  <c r="P462" i="1"/>
  <c r="Q462" i="1"/>
  <c r="R462" i="1"/>
  <c r="S462" i="1"/>
  <c r="T462" i="1"/>
  <c r="U462" i="1"/>
  <c r="V462" i="1"/>
  <c r="W462" i="1"/>
  <c r="X462" i="1"/>
  <c r="Y462" i="1"/>
  <c r="Z462" i="1"/>
  <c r="AA462" i="1"/>
  <c r="AB462" i="1"/>
  <c r="AC462" i="1"/>
  <c r="AD462" i="1"/>
  <c r="AE462" i="1"/>
  <c r="AF462" i="1"/>
  <c r="AG462" i="1"/>
  <c r="AH462" i="1"/>
  <c r="AI462" i="1"/>
  <c r="AP462" i="1"/>
  <c r="AQ462" i="1"/>
  <c r="AR462" i="1"/>
  <c r="AS462" i="1"/>
  <c r="AU462" i="1"/>
  <c r="AV462" i="1"/>
  <c r="AX462" i="1"/>
  <c r="BK462" i="1"/>
  <c r="BL462" i="1"/>
  <c r="BM462" i="1"/>
  <c r="BP462" i="1"/>
  <c r="BR462" i="1"/>
  <c r="I457" i="1"/>
  <c r="J457" i="1"/>
  <c r="K457" i="1"/>
  <c r="L457" i="1"/>
  <c r="M457" i="1"/>
  <c r="N457" i="1"/>
  <c r="O457" i="1"/>
  <c r="P457" i="1"/>
  <c r="Q457" i="1"/>
  <c r="R457" i="1"/>
  <c r="S457" i="1"/>
  <c r="T457" i="1"/>
  <c r="U457" i="1"/>
  <c r="V457" i="1"/>
  <c r="W457" i="1"/>
  <c r="X457" i="1"/>
  <c r="Y457" i="1"/>
  <c r="Z457" i="1"/>
  <c r="AA457" i="1"/>
  <c r="AB457" i="1"/>
  <c r="AC457" i="1"/>
  <c r="AD457" i="1"/>
  <c r="AE457" i="1"/>
  <c r="AF457" i="1"/>
  <c r="AG457" i="1"/>
  <c r="AH457" i="1"/>
  <c r="AI457" i="1"/>
  <c r="AP457" i="1"/>
  <c r="AQ457" i="1"/>
  <c r="AR457" i="1"/>
  <c r="AS457" i="1"/>
  <c r="AU457" i="1"/>
  <c r="AV457" i="1"/>
  <c r="AX457" i="1"/>
  <c r="BK457" i="1"/>
  <c r="BL457" i="1"/>
  <c r="BM457" i="1"/>
  <c r="BP457" i="1"/>
  <c r="BR457" i="1"/>
  <c r="I458" i="1"/>
  <c r="J458" i="1"/>
  <c r="K458" i="1"/>
  <c r="L458" i="1"/>
  <c r="M458" i="1"/>
  <c r="N458" i="1"/>
  <c r="O458" i="1"/>
  <c r="P458" i="1"/>
  <c r="Q458" i="1"/>
  <c r="R458" i="1"/>
  <c r="S458" i="1"/>
  <c r="T458" i="1"/>
  <c r="U458" i="1"/>
  <c r="V458" i="1"/>
  <c r="W458" i="1"/>
  <c r="X458" i="1"/>
  <c r="Y458" i="1"/>
  <c r="Z458" i="1"/>
  <c r="AA458" i="1"/>
  <c r="AB458" i="1"/>
  <c r="AC458" i="1"/>
  <c r="AD458" i="1"/>
  <c r="AE458" i="1"/>
  <c r="AF458" i="1"/>
  <c r="AG458" i="1"/>
  <c r="AH458" i="1"/>
  <c r="AI458" i="1"/>
  <c r="AP458" i="1"/>
  <c r="AQ458" i="1"/>
  <c r="AR458" i="1"/>
  <c r="AS458" i="1"/>
  <c r="AU458" i="1"/>
  <c r="AV458" i="1"/>
  <c r="AX458" i="1"/>
  <c r="BK458" i="1"/>
  <c r="BL458" i="1"/>
  <c r="BM458" i="1"/>
  <c r="BP458" i="1"/>
  <c r="BR458" i="1"/>
  <c r="I459" i="1"/>
  <c r="J459" i="1"/>
  <c r="K459" i="1"/>
  <c r="L459" i="1"/>
  <c r="M459" i="1"/>
  <c r="N459" i="1"/>
  <c r="O459" i="1"/>
  <c r="P459" i="1"/>
  <c r="Q459" i="1"/>
  <c r="R459" i="1"/>
  <c r="S459" i="1"/>
  <c r="T459" i="1"/>
  <c r="U459" i="1"/>
  <c r="V459" i="1"/>
  <c r="W459" i="1"/>
  <c r="X459" i="1"/>
  <c r="Y459" i="1"/>
  <c r="Z459" i="1"/>
  <c r="AA459" i="1"/>
  <c r="AB459" i="1"/>
  <c r="AC459" i="1"/>
  <c r="AD459" i="1"/>
  <c r="AE459" i="1"/>
  <c r="AF459" i="1"/>
  <c r="AG459" i="1"/>
  <c r="AH459" i="1"/>
  <c r="AI459" i="1"/>
  <c r="AP459" i="1"/>
  <c r="AQ459" i="1"/>
  <c r="AR459" i="1"/>
  <c r="AS459" i="1"/>
  <c r="AU459" i="1"/>
  <c r="AV459" i="1"/>
  <c r="AX459" i="1"/>
  <c r="BK459" i="1"/>
  <c r="BL459" i="1"/>
  <c r="BM459" i="1"/>
  <c r="BP459" i="1"/>
  <c r="BR459" i="1"/>
  <c r="I447" i="1"/>
  <c r="J447" i="1"/>
  <c r="K447" i="1"/>
  <c r="L447" i="1"/>
  <c r="M447" i="1"/>
  <c r="N447" i="1"/>
  <c r="O447" i="1"/>
  <c r="P447" i="1"/>
  <c r="Q447" i="1"/>
  <c r="R447" i="1"/>
  <c r="S447" i="1"/>
  <c r="T447" i="1"/>
  <c r="U447" i="1"/>
  <c r="V447" i="1"/>
  <c r="W447" i="1"/>
  <c r="X447" i="1"/>
  <c r="Y447" i="1"/>
  <c r="Z447" i="1"/>
  <c r="AA447" i="1"/>
  <c r="AB447" i="1"/>
  <c r="AC447" i="1"/>
  <c r="AD447" i="1"/>
  <c r="AE447" i="1"/>
  <c r="AF447" i="1"/>
  <c r="AG447" i="1"/>
  <c r="AH447" i="1"/>
  <c r="AI447" i="1"/>
  <c r="AP447" i="1"/>
  <c r="AQ447" i="1"/>
  <c r="AR447" i="1"/>
  <c r="AS447" i="1"/>
  <c r="AU447" i="1"/>
  <c r="AV447" i="1"/>
  <c r="AX447" i="1"/>
  <c r="BK447" i="1"/>
  <c r="BL447" i="1"/>
  <c r="BM447" i="1"/>
  <c r="BP447" i="1"/>
  <c r="BR447" i="1"/>
  <c r="I448" i="1"/>
  <c r="J448" i="1"/>
  <c r="K448" i="1"/>
  <c r="L448" i="1"/>
  <c r="M448" i="1"/>
  <c r="N448" i="1"/>
  <c r="O448" i="1"/>
  <c r="P448" i="1"/>
  <c r="Q448" i="1"/>
  <c r="R448" i="1"/>
  <c r="S448" i="1"/>
  <c r="T448" i="1"/>
  <c r="U448" i="1"/>
  <c r="V448" i="1"/>
  <c r="W448" i="1"/>
  <c r="X448" i="1"/>
  <c r="Y448" i="1"/>
  <c r="Z448" i="1"/>
  <c r="AA448" i="1"/>
  <c r="AB448" i="1"/>
  <c r="AC448" i="1"/>
  <c r="AD448" i="1"/>
  <c r="AE448" i="1"/>
  <c r="AF448" i="1"/>
  <c r="AG448" i="1"/>
  <c r="AH448" i="1"/>
  <c r="AI448" i="1"/>
  <c r="AP448" i="1"/>
  <c r="AQ448" i="1"/>
  <c r="AR448" i="1"/>
  <c r="AS448" i="1"/>
  <c r="AU448" i="1"/>
  <c r="AV448" i="1"/>
  <c r="AX448" i="1"/>
  <c r="BK448" i="1"/>
  <c r="BL448" i="1"/>
  <c r="BM448" i="1"/>
  <c r="BP448" i="1"/>
  <c r="BR448" i="1"/>
  <c r="I449" i="1"/>
  <c r="J449" i="1"/>
  <c r="K449" i="1"/>
  <c r="L449" i="1"/>
  <c r="M449" i="1"/>
  <c r="N449" i="1"/>
  <c r="O449" i="1"/>
  <c r="P449" i="1"/>
  <c r="Q449" i="1"/>
  <c r="R449" i="1"/>
  <c r="S449" i="1"/>
  <c r="T449" i="1"/>
  <c r="U449" i="1"/>
  <c r="V449" i="1"/>
  <c r="W449" i="1"/>
  <c r="X449" i="1"/>
  <c r="Y449" i="1"/>
  <c r="Z449" i="1"/>
  <c r="AA449" i="1"/>
  <c r="AB449" i="1"/>
  <c r="AC449" i="1"/>
  <c r="AD449" i="1"/>
  <c r="AE449" i="1"/>
  <c r="AF449" i="1"/>
  <c r="AG449" i="1"/>
  <c r="AH449" i="1"/>
  <c r="AI449" i="1"/>
  <c r="AP449" i="1"/>
  <c r="AQ449" i="1"/>
  <c r="AR449" i="1"/>
  <c r="AS449" i="1"/>
  <c r="AU449" i="1"/>
  <c r="AV449" i="1"/>
  <c r="AX449" i="1"/>
  <c r="BK449" i="1"/>
  <c r="BL449" i="1"/>
  <c r="BM449" i="1"/>
  <c r="BP449" i="1"/>
  <c r="BR449" i="1"/>
  <c r="I402" i="1"/>
  <c r="J402" i="1"/>
  <c r="K402" i="1"/>
  <c r="L402" i="1"/>
  <c r="M402" i="1"/>
  <c r="N402" i="1"/>
  <c r="O402" i="1"/>
  <c r="P402" i="1"/>
  <c r="Q402" i="1"/>
  <c r="R402" i="1"/>
  <c r="S402" i="1"/>
  <c r="T402" i="1"/>
  <c r="U402" i="1"/>
  <c r="V402" i="1"/>
  <c r="W402" i="1"/>
  <c r="X402" i="1"/>
  <c r="Y402" i="1"/>
  <c r="Z402" i="1"/>
  <c r="AA402" i="1"/>
  <c r="AB402" i="1"/>
  <c r="AC402" i="1"/>
  <c r="AD402" i="1"/>
  <c r="AE402" i="1"/>
  <c r="AF402" i="1"/>
  <c r="AG402" i="1"/>
  <c r="AH402" i="1"/>
  <c r="AI402" i="1"/>
  <c r="AP402" i="1"/>
  <c r="AQ402" i="1"/>
  <c r="AR402" i="1"/>
  <c r="AS402" i="1"/>
  <c r="AU402" i="1"/>
  <c r="AV402" i="1"/>
  <c r="AX402" i="1"/>
  <c r="BK402" i="1"/>
  <c r="BL402" i="1"/>
  <c r="BM402" i="1"/>
  <c r="BP402" i="1"/>
  <c r="BR402" i="1"/>
  <c r="I450" i="1"/>
  <c r="J450" i="1"/>
  <c r="K450" i="1"/>
  <c r="L450" i="1"/>
  <c r="M450" i="1"/>
  <c r="N450" i="1"/>
  <c r="O450" i="1"/>
  <c r="P450" i="1"/>
  <c r="Q450" i="1"/>
  <c r="R450" i="1"/>
  <c r="S450" i="1"/>
  <c r="T450" i="1"/>
  <c r="U450" i="1"/>
  <c r="V450" i="1"/>
  <c r="W450" i="1"/>
  <c r="X450" i="1"/>
  <c r="Y450" i="1"/>
  <c r="Z450" i="1"/>
  <c r="AA450" i="1"/>
  <c r="AB450" i="1"/>
  <c r="AC450" i="1"/>
  <c r="AD450" i="1"/>
  <c r="AE450" i="1"/>
  <c r="AF450" i="1"/>
  <c r="AG450" i="1"/>
  <c r="AH450" i="1"/>
  <c r="AI450" i="1"/>
  <c r="AP450" i="1"/>
  <c r="AQ450" i="1"/>
  <c r="AR450" i="1"/>
  <c r="AS450" i="1"/>
  <c r="AU450" i="1"/>
  <c r="AV450" i="1"/>
  <c r="AX450" i="1"/>
  <c r="BK450" i="1"/>
  <c r="BL450" i="1"/>
  <c r="BM450" i="1"/>
  <c r="BP450" i="1"/>
  <c r="BR450" i="1"/>
  <c r="I451" i="1"/>
  <c r="J451" i="1"/>
  <c r="K451" i="1"/>
  <c r="L451" i="1"/>
  <c r="M451" i="1"/>
  <c r="N451" i="1"/>
  <c r="O451" i="1"/>
  <c r="P451" i="1"/>
  <c r="Q451" i="1"/>
  <c r="R451" i="1"/>
  <c r="S451" i="1"/>
  <c r="T451" i="1"/>
  <c r="U451" i="1"/>
  <c r="V451" i="1"/>
  <c r="W451" i="1"/>
  <c r="X451" i="1"/>
  <c r="Y451" i="1"/>
  <c r="Z451" i="1"/>
  <c r="AA451" i="1"/>
  <c r="AB451" i="1"/>
  <c r="AC451" i="1"/>
  <c r="AD451" i="1"/>
  <c r="AE451" i="1"/>
  <c r="AF451" i="1"/>
  <c r="AG451" i="1"/>
  <c r="AH451" i="1"/>
  <c r="AI451" i="1"/>
  <c r="AP451" i="1"/>
  <c r="AQ451" i="1"/>
  <c r="AR451" i="1"/>
  <c r="AS451" i="1"/>
  <c r="AU451" i="1"/>
  <c r="AV451" i="1"/>
  <c r="AX451" i="1"/>
  <c r="BK451" i="1"/>
  <c r="BL451" i="1"/>
  <c r="BM451" i="1"/>
  <c r="BP451" i="1"/>
  <c r="BR451" i="1"/>
  <c r="I452" i="1"/>
  <c r="J452" i="1"/>
  <c r="K452" i="1"/>
  <c r="L452" i="1"/>
  <c r="M452" i="1"/>
  <c r="N452" i="1"/>
  <c r="O452" i="1"/>
  <c r="P452" i="1"/>
  <c r="Q452" i="1"/>
  <c r="R452" i="1"/>
  <c r="S452" i="1"/>
  <c r="T452" i="1"/>
  <c r="U452" i="1"/>
  <c r="V452" i="1"/>
  <c r="W452" i="1"/>
  <c r="X452" i="1"/>
  <c r="Y452" i="1"/>
  <c r="Z452" i="1"/>
  <c r="AA452" i="1"/>
  <c r="AB452" i="1"/>
  <c r="AC452" i="1"/>
  <c r="AD452" i="1"/>
  <c r="AE452" i="1"/>
  <c r="AF452" i="1"/>
  <c r="AG452" i="1"/>
  <c r="AH452" i="1"/>
  <c r="AI452" i="1"/>
  <c r="AP452" i="1"/>
  <c r="AQ452" i="1"/>
  <c r="AR452" i="1"/>
  <c r="AS452" i="1"/>
  <c r="AU452" i="1"/>
  <c r="AV452" i="1"/>
  <c r="AX452" i="1"/>
  <c r="BK452" i="1"/>
  <c r="BL452" i="1"/>
  <c r="BM452" i="1"/>
  <c r="BP452" i="1"/>
  <c r="BR452" i="1"/>
  <c r="I453" i="1"/>
  <c r="J453" i="1"/>
  <c r="K453" i="1"/>
  <c r="L453" i="1"/>
  <c r="M453" i="1"/>
  <c r="N453" i="1"/>
  <c r="O453" i="1"/>
  <c r="P453" i="1"/>
  <c r="Q453" i="1"/>
  <c r="R453" i="1"/>
  <c r="S453" i="1"/>
  <c r="T453" i="1"/>
  <c r="U453" i="1"/>
  <c r="V453" i="1"/>
  <c r="W453" i="1"/>
  <c r="X453" i="1"/>
  <c r="Y453" i="1"/>
  <c r="Z453" i="1"/>
  <c r="AA453" i="1"/>
  <c r="AB453" i="1"/>
  <c r="AC453" i="1"/>
  <c r="AD453" i="1"/>
  <c r="AE453" i="1"/>
  <c r="AF453" i="1"/>
  <c r="AG453" i="1"/>
  <c r="AH453" i="1"/>
  <c r="AI453" i="1"/>
  <c r="AP453" i="1"/>
  <c r="AQ453" i="1"/>
  <c r="AR453" i="1"/>
  <c r="AS453" i="1"/>
  <c r="AU453" i="1"/>
  <c r="AV453" i="1"/>
  <c r="AX453" i="1"/>
  <c r="BK453" i="1"/>
  <c r="BL453" i="1"/>
  <c r="BM453" i="1"/>
  <c r="BP453" i="1"/>
  <c r="BR453" i="1"/>
  <c r="I454" i="1"/>
  <c r="J454" i="1"/>
  <c r="K454" i="1"/>
  <c r="L454" i="1"/>
  <c r="M454" i="1"/>
  <c r="N454" i="1"/>
  <c r="O454" i="1"/>
  <c r="P454" i="1"/>
  <c r="Q454" i="1"/>
  <c r="R454" i="1"/>
  <c r="S454" i="1"/>
  <c r="T454" i="1"/>
  <c r="U454" i="1"/>
  <c r="V454" i="1"/>
  <c r="W454" i="1"/>
  <c r="X454" i="1"/>
  <c r="Y454" i="1"/>
  <c r="Z454" i="1"/>
  <c r="AA454" i="1"/>
  <c r="AB454" i="1"/>
  <c r="AC454" i="1"/>
  <c r="AD454" i="1"/>
  <c r="AE454" i="1"/>
  <c r="AF454" i="1"/>
  <c r="AG454" i="1"/>
  <c r="AH454" i="1"/>
  <c r="AI454" i="1"/>
  <c r="AP454" i="1"/>
  <c r="AQ454" i="1"/>
  <c r="AR454" i="1"/>
  <c r="AS454" i="1"/>
  <c r="AU454" i="1"/>
  <c r="AV454" i="1"/>
  <c r="AX454" i="1"/>
  <c r="BK454" i="1"/>
  <c r="BL454" i="1"/>
  <c r="BM454" i="1"/>
  <c r="BP454" i="1"/>
  <c r="BR454" i="1"/>
  <c r="I455" i="1"/>
  <c r="J455" i="1"/>
  <c r="K455" i="1"/>
  <c r="L455" i="1"/>
  <c r="M455" i="1"/>
  <c r="N455" i="1"/>
  <c r="O455" i="1"/>
  <c r="P455" i="1"/>
  <c r="Q455" i="1"/>
  <c r="R455" i="1"/>
  <c r="S455" i="1"/>
  <c r="T455" i="1"/>
  <c r="U455" i="1"/>
  <c r="V455" i="1"/>
  <c r="W455" i="1"/>
  <c r="X455" i="1"/>
  <c r="Y455" i="1"/>
  <c r="Z455" i="1"/>
  <c r="AA455" i="1"/>
  <c r="AB455" i="1"/>
  <c r="AC455" i="1"/>
  <c r="AD455" i="1"/>
  <c r="AE455" i="1"/>
  <c r="AF455" i="1"/>
  <c r="AG455" i="1"/>
  <c r="AH455" i="1"/>
  <c r="AI455" i="1"/>
  <c r="AP455" i="1"/>
  <c r="AQ455" i="1"/>
  <c r="AR455" i="1"/>
  <c r="AS455" i="1"/>
  <c r="AU455" i="1"/>
  <c r="AV455" i="1"/>
  <c r="AX455" i="1"/>
  <c r="BK455" i="1"/>
  <c r="BL455" i="1"/>
  <c r="BM455" i="1"/>
  <c r="BP455" i="1"/>
  <c r="BR455" i="1"/>
  <c r="I456" i="1"/>
  <c r="J456" i="1"/>
  <c r="K456" i="1"/>
  <c r="L456" i="1"/>
  <c r="M456" i="1"/>
  <c r="N456" i="1"/>
  <c r="O456" i="1"/>
  <c r="P456" i="1"/>
  <c r="Q456" i="1"/>
  <c r="R456" i="1"/>
  <c r="S456" i="1"/>
  <c r="T456" i="1"/>
  <c r="U456" i="1"/>
  <c r="V456" i="1"/>
  <c r="W456" i="1"/>
  <c r="X456" i="1"/>
  <c r="Y456" i="1"/>
  <c r="Z456" i="1"/>
  <c r="AA456" i="1"/>
  <c r="AB456" i="1"/>
  <c r="AC456" i="1"/>
  <c r="AD456" i="1"/>
  <c r="AE456" i="1"/>
  <c r="AF456" i="1"/>
  <c r="AG456" i="1"/>
  <c r="AH456" i="1"/>
  <c r="AI456" i="1"/>
  <c r="AP456" i="1"/>
  <c r="AQ456" i="1"/>
  <c r="AR456" i="1"/>
  <c r="AS456" i="1"/>
  <c r="AU456" i="1"/>
  <c r="AV456" i="1"/>
  <c r="AX456" i="1"/>
  <c r="BK456" i="1"/>
  <c r="BL456" i="1"/>
  <c r="BM456" i="1"/>
  <c r="BP456" i="1"/>
  <c r="BR456" i="1"/>
  <c r="I444" i="1"/>
  <c r="J444" i="1"/>
  <c r="K444" i="1"/>
  <c r="L444" i="1"/>
  <c r="M444" i="1"/>
  <c r="N444" i="1"/>
  <c r="O444" i="1"/>
  <c r="P444" i="1"/>
  <c r="Q444" i="1"/>
  <c r="R444" i="1"/>
  <c r="S444" i="1"/>
  <c r="T444" i="1"/>
  <c r="U444" i="1"/>
  <c r="V444" i="1"/>
  <c r="W444" i="1"/>
  <c r="X444" i="1"/>
  <c r="Y444" i="1"/>
  <c r="Z444" i="1"/>
  <c r="AA444" i="1"/>
  <c r="AB444" i="1"/>
  <c r="AC444" i="1"/>
  <c r="AD444" i="1"/>
  <c r="AE444" i="1"/>
  <c r="AF444" i="1"/>
  <c r="AG444" i="1"/>
  <c r="AH444" i="1"/>
  <c r="AI444" i="1"/>
  <c r="AP444" i="1"/>
  <c r="AQ444" i="1"/>
  <c r="AR444" i="1"/>
  <c r="AS444" i="1"/>
  <c r="AU444" i="1"/>
  <c r="AV444" i="1"/>
  <c r="AX444" i="1"/>
  <c r="BK444" i="1"/>
  <c r="BL444" i="1"/>
  <c r="BM444" i="1"/>
  <c r="BP444" i="1"/>
  <c r="BR444" i="1"/>
  <c r="I445" i="1"/>
  <c r="J445" i="1"/>
  <c r="K445" i="1"/>
  <c r="L445" i="1"/>
  <c r="M445" i="1"/>
  <c r="N445" i="1"/>
  <c r="O445" i="1"/>
  <c r="P445" i="1"/>
  <c r="Q445" i="1"/>
  <c r="R445" i="1"/>
  <c r="S445" i="1"/>
  <c r="T445" i="1"/>
  <c r="U445" i="1"/>
  <c r="V445" i="1"/>
  <c r="W445" i="1"/>
  <c r="X445" i="1"/>
  <c r="Y445" i="1"/>
  <c r="Z445" i="1"/>
  <c r="AA445" i="1"/>
  <c r="AB445" i="1"/>
  <c r="AC445" i="1"/>
  <c r="AD445" i="1"/>
  <c r="AE445" i="1"/>
  <c r="AF445" i="1"/>
  <c r="AG445" i="1"/>
  <c r="AH445" i="1"/>
  <c r="AI445" i="1"/>
  <c r="AP445" i="1"/>
  <c r="AQ445" i="1"/>
  <c r="AR445" i="1"/>
  <c r="AS445" i="1"/>
  <c r="AU445" i="1"/>
  <c r="AV445" i="1"/>
  <c r="AX445" i="1"/>
  <c r="BK445" i="1"/>
  <c r="BL445" i="1"/>
  <c r="BM445" i="1"/>
  <c r="BP445" i="1"/>
  <c r="BR445" i="1"/>
  <c r="I446" i="1"/>
  <c r="J446" i="1"/>
  <c r="K446" i="1"/>
  <c r="L446" i="1"/>
  <c r="M446" i="1"/>
  <c r="N446" i="1"/>
  <c r="O446" i="1"/>
  <c r="P446" i="1"/>
  <c r="Q446" i="1"/>
  <c r="R446" i="1"/>
  <c r="S446" i="1"/>
  <c r="T446" i="1"/>
  <c r="U446" i="1"/>
  <c r="V446" i="1"/>
  <c r="W446" i="1"/>
  <c r="X446" i="1"/>
  <c r="Y446" i="1"/>
  <c r="Z446" i="1"/>
  <c r="AA446" i="1"/>
  <c r="AB446" i="1"/>
  <c r="AC446" i="1"/>
  <c r="AD446" i="1"/>
  <c r="AE446" i="1"/>
  <c r="AF446" i="1"/>
  <c r="AG446" i="1"/>
  <c r="AH446" i="1"/>
  <c r="AI446" i="1"/>
  <c r="AP446" i="1"/>
  <c r="AQ446" i="1"/>
  <c r="AR446" i="1"/>
  <c r="AS446" i="1"/>
  <c r="AU446" i="1"/>
  <c r="AV446" i="1"/>
  <c r="AX446" i="1"/>
  <c r="BK446" i="1"/>
  <c r="BL446" i="1"/>
  <c r="BM446" i="1"/>
  <c r="BP446" i="1"/>
  <c r="BR446" i="1"/>
  <c r="I437" i="1"/>
  <c r="J437" i="1"/>
  <c r="K437" i="1"/>
  <c r="L437" i="1"/>
  <c r="M437" i="1"/>
  <c r="N437" i="1"/>
  <c r="O437" i="1"/>
  <c r="P437" i="1"/>
  <c r="Q437" i="1"/>
  <c r="R437" i="1"/>
  <c r="S437" i="1"/>
  <c r="T437" i="1"/>
  <c r="U437" i="1"/>
  <c r="V437" i="1"/>
  <c r="W437" i="1"/>
  <c r="X437" i="1"/>
  <c r="Y437" i="1"/>
  <c r="Z437" i="1"/>
  <c r="AA437" i="1"/>
  <c r="AB437" i="1"/>
  <c r="AC437" i="1"/>
  <c r="AD437" i="1"/>
  <c r="AE437" i="1"/>
  <c r="AF437" i="1"/>
  <c r="AG437" i="1"/>
  <c r="AH437" i="1"/>
  <c r="AI437" i="1"/>
  <c r="AP437" i="1"/>
  <c r="AQ437" i="1"/>
  <c r="AR437" i="1"/>
  <c r="AS437" i="1"/>
  <c r="AU437" i="1"/>
  <c r="AV437" i="1"/>
  <c r="AX437" i="1"/>
  <c r="BK437" i="1"/>
  <c r="BL437" i="1"/>
  <c r="BM437" i="1"/>
  <c r="BP437" i="1"/>
  <c r="BR437" i="1"/>
  <c r="I438" i="1"/>
  <c r="J438" i="1"/>
  <c r="K438" i="1"/>
  <c r="L438" i="1"/>
  <c r="M438" i="1"/>
  <c r="N438" i="1"/>
  <c r="O438" i="1"/>
  <c r="P438" i="1"/>
  <c r="Q438" i="1"/>
  <c r="R438" i="1"/>
  <c r="S438" i="1"/>
  <c r="T438" i="1"/>
  <c r="U438" i="1"/>
  <c r="V438" i="1"/>
  <c r="W438" i="1"/>
  <c r="X438" i="1"/>
  <c r="Y438" i="1"/>
  <c r="Z438" i="1"/>
  <c r="AA438" i="1"/>
  <c r="AB438" i="1"/>
  <c r="AC438" i="1"/>
  <c r="AD438" i="1"/>
  <c r="AE438" i="1"/>
  <c r="AF438" i="1"/>
  <c r="AG438" i="1"/>
  <c r="AH438" i="1"/>
  <c r="AI438" i="1"/>
  <c r="AP438" i="1"/>
  <c r="AQ438" i="1"/>
  <c r="AR438" i="1"/>
  <c r="AS438" i="1"/>
  <c r="AU438" i="1"/>
  <c r="AV438" i="1"/>
  <c r="AX438" i="1"/>
  <c r="BK438" i="1"/>
  <c r="BL438" i="1"/>
  <c r="BM438" i="1"/>
  <c r="BP438" i="1"/>
  <c r="BR438" i="1"/>
  <c r="I439" i="1"/>
  <c r="J439" i="1"/>
  <c r="K439" i="1"/>
  <c r="L439" i="1"/>
  <c r="M439" i="1"/>
  <c r="N439" i="1"/>
  <c r="O439" i="1"/>
  <c r="P439" i="1"/>
  <c r="Q439" i="1"/>
  <c r="R439" i="1"/>
  <c r="S439" i="1"/>
  <c r="T439" i="1"/>
  <c r="U439" i="1"/>
  <c r="V439" i="1"/>
  <c r="W439" i="1"/>
  <c r="X439" i="1"/>
  <c r="Y439" i="1"/>
  <c r="Z439" i="1"/>
  <c r="AA439" i="1"/>
  <c r="AB439" i="1"/>
  <c r="AC439" i="1"/>
  <c r="AD439" i="1"/>
  <c r="AE439" i="1"/>
  <c r="AF439" i="1"/>
  <c r="AG439" i="1"/>
  <c r="AH439" i="1"/>
  <c r="AI439" i="1"/>
  <c r="AP439" i="1"/>
  <c r="AQ439" i="1"/>
  <c r="AR439" i="1"/>
  <c r="AS439" i="1"/>
  <c r="AU439" i="1"/>
  <c r="AV439" i="1"/>
  <c r="AX439" i="1"/>
  <c r="BK439" i="1"/>
  <c r="BL439" i="1"/>
  <c r="BM439" i="1"/>
  <c r="BP439" i="1"/>
  <c r="BR439" i="1"/>
  <c r="I440" i="1"/>
  <c r="J440" i="1"/>
  <c r="K440" i="1"/>
  <c r="L440" i="1"/>
  <c r="M440" i="1"/>
  <c r="N440" i="1"/>
  <c r="O440" i="1"/>
  <c r="P440" i="1"/>
  <c r="Q440" i="1"/>
  <c r="R440" i="1"/>
  <c r="S440" i="1"/>
  <c r="T440" i="1"/>
  <c r="U440" i="1"/>
  <c r="V440" i="1"/>
  <c r="W440" i="1"/>
  <c r="X440" i="1"/>
  <c r="Y440" i="1"/>
  <c r="Z440" i="1"/>
  <c r="AA440" i="1"/>
  <c r="AB440" i="1"/>
  <c r="AC440" i="1"/>
  <c r="AD440" i="1"/>
  <c r="AE440" i="1"/>
  <c r="AF440" i="1"/>
  <c r="AG440" i="1"/>
  <c r="AH440" i="1"/>
  <c r="AI440" i="1"/>
  <c r="AP440" i="1"/>
  <c r="AQ440" i="1"/>
  <c r="AR440" i="1"/>
  <c r="AS440" i="1"/>
  <c r="AU440" i="1"/>
  <c r="AV440" i="1"/>
  <c r="AX440" i="1"/>
  <c r="BK440" i="1"/>
  <c r="BL440" i="1"/>
  <c r="BM440" i="1"/>
  <c r="BP440" i="1"/>
  <c r="BR440" i="1"/>
  <c r="I441" i="1"/>
  <c r="J441" i="1"/>
  <c r="K441" i="1"/>
  <c r="L441" i="1"/>
  <c r="M441" i="1"/>
  <c r="N441" i="1"/>
  <c r="O441" i="1"/>
  <c r="P441" i="1"/>
  <c r="Q441" i="1"/>
  <c r="R441" i="1"/>
  <c r="S441" i="1"/>
  <c r="T441" i="1"/>
  <c r="U441" i="1"/>
  <c r="V441" i="1"/>
  <c r="W441" i="1"/>
  <c r="X441" i="1"/>
  <c r="Y441" i="1"/>
  <c r="Z441" i="1"/>
  <c r="AA441" i="1"/>
  <c r="AB441" i="1"/>
  <c r="AC441" i="1"/>
  <c r="AD441" i="1"/>
  <c r="AE441" i="1"/>
  <c r="AF441" i="1"/>
  <c r="AG441" i="1"/>
  <c r="AH441" i="1"/>
  <c r="AI441" i="1"/>
  <c r="AP441" i="1"/>
  <c r="AQ441" i="1"/>
  <c r="AR441" i="1"/>
  <c r="AS441" i="1"/>
  <c r="AU441" i="1"/>
  <c r="AV441" i="1"/>
  <c r="AX441" i="1"/>
  <c r="BK441" i="1"/>
  <c r="BL441" i="1"/>
  <c r="BM441" i="1"/>
  <c r="BP441" i="1"/>
  <c r="BR441" i="1"/>
  <c r="I442" i="1"/>
  <c r="J442" i="1"/>
  <c r="K442" i="1"/>
  <c r="L442" i="1"/>
  <c r="M442" i="1"/>
  <c r="N442" i="1"/>
  <c r="O442" i="1"/>
  <c r="P442" i="1"/>
  <c r="Q442" i="1"/>
  <c r="R442" i="1"/>
  <c r="S442" i="1"/>
  <c r="T442" i="1"/>
  <c r="U442" i="1"/>
  <c r="V442" i="1"/>
  <c r="W442" i="1"/>
  <c r="X442" i="1"/>
  <c r="Y442" i="1"/>
  <c r="Z442" i="1"/>
  <c r="AA442" i="1"/>
  <c r="AB442" i="1"/>
  <c r="AC442" i="1"/>
  <c r="AD442" i="1"/>
  <c r="AE442" i="1"/>
  <c r="AF442" i="1"/>
  <c r="AG442" i="1"/>
  <c r="AH442" i="1"/>
  <c r="AI442" i="1"/>
  <c r="AP442" i="1"/>
  <c r="AQ442" i="1"/>
  <c r="AR442" i="1"/>
  <c r="AS442" i="1"/>
  <c r="AU442" i="1"/>
  <c r="AV442" i="1"/>
  <c r="AX442" i="1"/>
  <c r="BK442" i="1"/>
  <c r="BL442" i="1"/>
  <c r="BM442" i="1"/>
  <c r="BP442" i="1"/>
  <c r="BR442" i="1"/>
  <c r="I443" i="1"/>
  <c r="J443" i="1"/>
  <c r="K443" i="1"/>
  <c r="L443" i="1"/>
  <c r="M443" i="1"/>
  <c r="N443" i="1"/>
  <c r="O443" i="1"/>
  <c r="P443" i="1"/>
  <c r="Q443" i="1"/>
  <c r="R443" i="1"/>
  <c r="S443" i="1"/>
  <c r="T443" i="1"/>
  <c r="U443" i="1"/>
  <c r="V443" i="1"/>
  <c r="W443" i="1"/>
  <c r="X443" i="1"/>
  <c r="Y443" i="1"/>
  <c r="Z443" i="1"/>
  <c r="AA443" i="1"/>
  <c r="AB443" i="1"/>
  <c r="AC443" i="1"/>
  <c r="AD443" i="1"/>
  <c r="AE443" i="1"/>
  <c r="AF443" i="1"/>
  <c r="AG443" i="1"/>
  <c r="AH443" i="1"/>
  <c r="AI443" i="1"/>
  <c r="AP443" i="1"/>
  <c r="AQ443" i="1"/>
  <c r="AR443" i="1"/>
  <c r="AS443" i="1"/>
  <c r="AU443" i="1"/>
  <c r="AV443" i="1"/>
  <c r="AX443" i="1"/>
  <c r="BK443" i="1"/>
  <c r="BL443" i="1"/>
  <c r="BM443" i="1"/>
  <c r="BP443" i="1"/>
  <c r="BR443" i="1"/>
  <c r="I414" i="1"/>
  <c r="J414" i="1"/>
  <c r="K414" i="1"/>
  <c r="L414" i="1"/>
  <c r="M414" i="1"/>
  <c r="N414" i="1"/>
  <c r="O414" i="1"/>
  <c r="P414" i="1"/>
  <c r="Q414" i="1"/>
  <c r="R414" i="1"/>
  <c r="S414" i="1"/>
  <c r="T414" i="1"/>
  <c r="U414" i="1"/>
  <c r="V414" i="1"/>
  <c r="W414" i="1"/>
  <c r="X414" i="1"/>
  <c r="Y414" i="1"/>
  <c r="Z414" i="1"/>
  <c r="AA414" i="1"/>
  <c r="AB414" i="1"/>
  <c r="AC414" i="1"/>
  <c r="AD414" i="1"/>
  <c r="AE414" i="1"/>
  <c r="AF414" i="1"/>
  <c r="AG414" i="1"/>
  <c r="AH414" i="1"/>
  <c r="AI414" i="1"/>
  <c r="AP414" i="1"/>
  <c r="AQ414" i="1"/>
  <c r="AR414" i="1"/>
  <c r="AS414" i="1"/>
  <c r="AU414" i="1"/>
  <c r="AV414" i="1"/>
  <c r="AX414" i="1"/>
  <c r="BK414" i="1"/>
  <c r="BL414" i="1"/>
  <c r="BM414" i="1"/>
  <c r="BP414" i="1"/>
  <c r="BR414" i="1"/>
  <c r="I415" i="1"/>
  <c r="J415" i="1"/>
  <c r="K415" i="1"/>
  <c r="L415" i="1"/>
  <c r="M415" i="1"/>
  <c r="N415" i="1"/>
  <c r="O415" i="1"/>
  <c r="P415" i="1"/>
  <c r="Q415" i="1"/>
  <c r="R415" i="1"/>
  <c r="S415" i="1"/>
  <c r="T415" i="1"/>
  <c r="U415" i="1"/>
  <c r="V415" i="1"/>
  <c r="W415" i="1"/>
  <c r="X415" i="1"/>
  <c r="Y415" i="1"/>
  <c r="Z415" i="1"/>
  <c r="AA415" i="1"/>
  <c r="AB415" i="1"/>
  <c r="AC415" i="1"/>
  <c r="AD415" i="1"/>
  <c r="AE415" i="1"/>
  <c r="AF415" i="1"/>
  <c r="AG415" i="1"/>
  <c r="AH415" i="1"/>
  <c r="AI415" i="1"/>
  <c r="AP415" i="1"/>
  <c r="AQ415" i="1"/>
  <c r="AR415" i="1"/>
  <c r="AS415" i="1"/>
  <c r="AU415" i="1"/>
  <c r="AV415" i="1"/>
  <c r="AX415" i="1"/>
  <c r="BK415" i="1"/>
  <c r="BL415" i="1"/>
  <c r="BM415" i="1"/>
  <c r="BP415" i="1"/>
  <c r="BR415" i="1"/>
  <c r="I434" i="1"/>
  <c r="J434" i="1"/>
  <c r="K434" i="1"/>
  <c r="L434" i="1"/>
  <c r="M434" i="1"/>
  <c r="N434" i="1"/>
  <c r="O434" i="1"/>
  <c r="P434" i="1"/>
  <c r="Q434" i="1"/>
  <c r="R434" i="1"/>
  <c r="S434" i="1"/>
  <c r="T434" i="1"/>
  <c r="U434" i="1"/>
  <c r="V434" i="1"/>
  <c r="W434" i="1"/>
  <c r="X434" i="1"/>
  <c r="Y434" i="1"/>
  <c r="Z434" i="1"/>
  <c r="AA434" i="1"/>
  <c r="AB434" i="1"/>
  <c r="AC434" i="1"/>
  <c r="AD434" i="1"/>
  <c r="AE434" i="1"/>
  <c r="AF434" i="1"/>
  <c r="AG434" i="1"/>
  <c r="AH434" i="1"/>
  <c r="AI434" i="1"/>
  <c r="AP434" i="1"/>
  <c r="AQ434" i="1"/>
  <c r="AR434" i="1"/>
  <c r="AS434" i="1"/>
  <c r="AU434" i="1"/>
  <c r="AV434" i="1"/>
  <c r="AX434" i="1"/>
  <c r="BK434" i="1"/>
  <c r="BL434" i="1"/>
  <c r="BM434" i="1"/>
  <c r="BP434" i="1"/>
  <c r="BR434" i="1"/>
  <c r="I404" i="1"/>
  <c r="J404" i="1"/>
  <c r="K404" i="1"/>
  <c r="L404" i="1"/>
  <c r="M404" i="1"/>
  <c r="N404" i="1"/>
  <c r="O404" i="1"/>
  <c r="P404" i="1"/>
  <c r="Q404" i="1"/>
  <c r="R404" i="1"/>
  <c r="S404" i="1"/>
  <c r="T404" i="1"/>
  <c r="U404" i="1"/>
  <c r="V404" i="1"/>
  <c r="W404" i="1"/>
  <c r="X404" i="1"/>
  <c r="Y404" i="1"/>
  <c r="Z404" i="1"/>
  <c r="AA404" i="1"/>
  <c r="AB404" i="1"/>
  <c r="AC404" i="1"/>
  <c r="AD404" i="1"/>
  <c r="AE404" i="1"/>
  <c r="AF404" i="1"/>
  <c r="AG404" i="1"/>
  <c r="AH404" i="1"/>
  <c r="AI404" i="1"/>
  <c r="AP404" i="1"/>
  <c r="AQ404" i="1"/>
  <c r="AR404" i="1"/>
  <c r="AS404" i="1"/>
  <c r="AU404" i="1"/>
  <c r="AV404" i="1"/>
  <c r="AX404" i="1"/>
  <c r="BK404" i="1"/>
  <c r="BL404" i="1"/>
  <c r="BM404" i="1"/>
  <c r="BP404" i="1"/>
  <c r="BR404" i="1"/>
  <c r="I435" i="1"/>
  <c r="J435" i="1"/>
  <c r="K435" i="1"/>
  <c r="L435" i="1"/>
  <c r="M435" i="1"/>
  <c r="N435" i="1"/>
  <c r="O435" i="1"/>
  <c r="P435" i="1"/>
  <c r="Q435" i="1"/>
  <c r="R435" i="1"/>
  <c r="S435" i="1"/>
  <c r="T435" i="1"/>
  <c r="U435" i="1"/>
  <c r="V435" i="1"/>
  <c r="W435" i="1"/>
  <c r="X435" i="1"/>
  <c r="Y435" i="1"/>
  <c r="Z435" i="1"/>
  <c r="AA435" i="1"/>
  <c r="AB435" i="1"/>
  <c r="AC435" i="1"/>
  <c r="AD435" i="1"/>
  <c r="AE435" i="1"/>
  <c r="AF435" i="1"/>
  <c r="AG435" i="1"/>
  <c r="AH435" i="1"/>
  <c r="AI435" i="1"/>
  <c r="AP435" i="1"/>
  <c r="AQ435" i="1"/>
  <c r="AR435" i="1"/>
  <c r="AS435" i="1"/>
  <c r="AU435" i="1"/>
  <c r="AV435" i="1"/>
  <c r="AX435" i="1"/>
  <c r="BK435" i="1"/>
  <c r="BL435" i="1"/>
  <c r="BM435" i="1"/>
  <c r="BP435" i="1"/>
  <c r="BR435" i="1"/>
  <c r="I436" i="1"/>
  <c r="J436" i="1"/>
  <c r="K436" i="1"/>
  <c r="L436" i="1"/>
  <c r="M436" i="1"/>
  <c r="N436" i="1"/>
  <c r="O436" i="1"/>
  <c r="P436" i="1"/>
  <c r="Q436" i="1"/>
  <c r="R436" i="1"/>
  <c r="S436" i="1"/>
  <c r="T436" i="1"/>
  <c r="U436" i="1"/>
  <c r="V436" i="1"/>
  <c r="W436" i="1"/>
  <c r="X436" i="1"/>
  <c r="Y436" i="1"/>
  <c r="Z436" i="1"/>
  <c r="AA436" i="1"/>
  <c r="AB436" i="1"/>
  <c r="AC436" i="1"/>
  <c r="AD436" i="1"/>
  <c r="AE436" i="1"/>
  <c r="AF436" i="1"/>
  <c r="AG436" i="1"/>
  <c r="AH436" i="1"/>
  <c r="AI436" i="1"/>
  <c r="AP436" i="1"/>
  <c r="AQ436" i="1"/>
  <c r="AR436" i="1"/>
  <c r="AS436" i="1"/>
  <c r="AU436" i="1"/>
  <c r="AV436" i="1"/>
  <c r="AX436" i="1"/>
  <c r="BK436" i="1"/>
  <c r="BL436" i="1"/>
  <c r="BM436" i="1"/>
  <c r="BP436" i="1"/>
  <c r="BR436" i="1"/>
  <c r="I433" i="1"/>
  <c r="J433" i="1"/>
  <c r="K433" i="1"/>
  <c r="L433" i="1"/>
  <c r="M433" i="1"/>
  <c r="N433" i="1"/>
  <c r="O433" i="1"/>
  <c r="P433" i="1"/>
  <c r="Q433" i="1"/>
  <c r="R433" i="1"/>
  <c r="S433" i="1"/>
  <c r="T433" i="1"/>
  <c r="U433" i="1"/>
  <c r="V433" i="1"/>
  <c r="W433" i="1"/>
  <c r="X433" i="1"/>
  <c r="Y433" i="1"/>
  <c r="Z433" i="1"/>
  <c r="AA433" i="1"/>
  <c r="AB433" i="1"/>
  <c r="AC433" i="1"/>
  <c r="AD433" i="1"/>
  <c r="AE433" i="1"/>
  <c r="AF433" i="1"/>
  <c r="AG433" i="1"/>
  <c r="AH433" i="1"/>
  <c r="AI433" i="1"/>
  <c r="AP433" i="1"/>
  <c r="AQ433" i="1"/>
  <c r="AR433" i="1"/>
  <c r="AS433" i="1"/>
  <c r="AU433" i="1"/>
  <c r="AV433" i="1"/>
  <c r="AX433" i="1"/>
  <c r="BK433" i="1"/>
  <c r="BL433" i="1"/>
  <c r="BM433" i="1"/>
  <c r="BP433" i="1"/>
  <c r="BR433" i="1"/>
  <c r="I421" i="1"/>
  <c r="J421" i="1"/>
  <c r="K421" i="1"/>
  <c r="L421" i="1"/>
  <c r="M421" i="1"/>
  <c r="N421" i="1"/>
  <c r="O421" i="1"/>
  <c r="P421" i="1"/>
  <c r="Q421" i="1"/>
  <c r="R421" i="1"/>
  <c r="S421" i="1"/>
  <c r="T421" i="1"/>
  <c r="U421" i="1"/>
  <c r="V421" i="1"/>
  <c r="W421" i="1"/>
  <c r="X421" i="1"/>
  <c r="Y421" i="1"/>
  <c r="Z421" i="1"/>
  <c r="AA421" i="1"/>
  <c r="AB421" i="1"/>
  <c r="AC421" i="1"/>
  <c r="AD421" i="1"/>
  <c r="AE421" i="1"/>
  <c r="AF421" i="1"/>
  <c r="AG421" i="1"/>
  <c r="AH421" i="1"/>
  <c r="AI421" i="1"/>
  <c r="AP421" i="1"/>
  <c r="AQ421" i="1"/>
  <c r="AR421" i="1"/>
  <c r="AS421" i="1"/>
  <c r="AU421" i="1"/>
  <c r="AV421" i="1"/>
  <c r="AX421" i="1"/>
  <c r="BK421" i="1"/>
  <c r="BL421" i="1"/>
  <c r="BM421" i="1"/>
  <c r="BP421" i="1"/>
  <c r="BR421" i="1"/>
  <c r="I422" i="1"/>
  <c r="J422" i="1"/>
  <c r="K422" i="1"/>
  <c r="L422" i="1"/>
  <c r="M422" i="1"/>
  <c r="N422" i="1"/>
  <c r="O422" i="1"/>
  <c r="P422" i="1"/>
  <c r="Q422" i="1"/>
  <c r="R422" i="1"/>
  <c r="S422" i="1"/>
  <c r="T422" i="1"/>
  <c r="U422" i="1"/>
  <c r="V422" i="1"/>
  <c r="W422" i="1"/>
  <c r="X422" i="1"/>
  <c r="Y422" i="1"/>
  <c r="Z422" i="1"/>
  <c r="AA422" i="1"/>
  <c r="AB422" i="1"/>
  <c r="AC422" i="1"/>
  <c r="AD422" i="1"/>
  <c r="AE422" i="1"/>
  <c r="AF422" i="1"/>
  <c r="AG422" i="1"/>
  <c r="AH422" i="1"/>
  <c r="AI422" i="1"/>
  <c r="AP422" i="1"/>
  <c r="AQ422" i="1"/>
  <c r="AR422" i="1"/>
  <c r="AS422" i="1"/>
  <c r="AU422" i="1"/>
  <c r="AV422" i="1"/>
  <c r="AX422" i="1"/>
  <c r="BK422" i="1"/>
  <c r="BL422" i="1"/>
  <c r="BM422" i="1"/>
  <c r="BP422" i="1"/>
  <c r="BR422" i="1"/>
  <c r="I423" i="1"/>
  <c r="J423" i="1"/>
  <c r="K423" i="1"/>
  <c r="L423" i="1"/>
  <c r="M423" i="1"/>
  <c r="N423" i="1"/>
  <c r="O423" i="1"/>
  <c r="P423" i="1"/>
  <c r="Q423" i="1"/>
  <c r="R423" i="1"/>
  <c r="S423" i="1"/>
  <c r="T423" i="1"/>
  <c r="U423" i="1"/>
  <c r="V423" i="1"/>
  <c r="W423" i="1"/>
  <c r="X423" i="1"/>
  <c r="Y423" i="1"/>
  <c r="Z423" i="1"/>
  <c r="AA423" i="1"/>
  <c r="AB423" i="1"/>
  <c r="AC423" i="1"/>
  <c r="AD423" i="1"/>
  <c r="AE423" i="1"/>
  <c r="AF423" i="1"/>
  <c r="AG423" i="1"/>
  <c r="AH423" i="1"/>
  <c r="AI423" i="1"/>
  <c r="AP423" i="1"/>
  <c r="AQ423" i="1"/>
  <c r="AR423" i="1"/>
  <c r="AS423" i="1"/>
  <c r="AU423" i="1"/>
  <c r="AV423" i="1"/>
  <c r="AX423" i="1"/>
  <c r="BK423" i="1"/>
  <c r="BL423" i="1"/>
  <c r="BM423" i="1"/>
  <c r="BP423" i="1"/>
  <c r="BR423" i="1"/>
  <c r="I424" i="1"/>
  <c r="J424" i="1"/>
  <c r="K424" i="1"/>
  <c r="L424" i="1"/>
  <c r="M424" i="1"/>
  <c r="N424" i="1"/>
  <c r="O424" i="1"/>
  <c r="P424" i="1"/>
  <c r="Q424" i="1"/>
  <c r="R424" i="1"/>
  <c r="S424" i="1"/>
  <c r="T424" i="1"/>
  <c r="U424" i="1"/>
  <c r="V424" i="1"/>
  <c r="W424" i="1"/>
  <c r="X424" i="1"/>
  <c r="Y424" i="1"/>
  <c r="Z424" i="1"/>
  <c r="AA424" i="1"/>
  <c r="AB424" i="1"/>
  <c r="AC424" i="1"/>
  <c r="AD424" i="1"/>
  <c r="AE424" i="1"/>
  <c r="AF424" i="1"/>
  <c r="AG424" i="1"/>
  <c r="AH424" i="1"/>
  <c r="AI424" i="1"/>
  <c r="AP424" i="1"/>
  <c r="AQ424" i="1"/>
  <c r="AR424" i="1"/>
  <c r="AS424" i="1"/>
  <c r="AU424" i="1"/>
  <c r="AV424" i="1"/>
  <c r="AX424" i="1"/>
  <c r="BK424" i="1"/>
  <c r="BL424" i="1"/>
  <c r="BM424" i="1"/>
  <c r="BP424" i="1"/>
  <c r="BR424" i="1"/>
  <c r="I425" i="1"/>
  <c r="J425" i="1"/>
  <c r="K425" i="1"/>
  <c r="L425" i="1"/>
  <c r="M425" i="1"/>
  <c r="N425" i="1"/>
  <c r="O425" i="1"/>
  <c r="P425" i="1"/>
  <c r="Q425" i="1"/>
  <c r="R425" i="1"/>
  <c r="S425" i="1"/>
  <c r="T425" i="1"/>
  <c r="U425" i="1"/>
  <c r="V425" i="1"/>
  <c r="W425" i="1"/>
  <c r="X425" i="1"/>
  <c r="Y425" i="1"/>
  <c r="Z425" i="1"/>
  <c r="AA425" i="1"/>
  <c r="AB425" i="1"/>
  <c r="AC425" i="1"/>
  <c r="AD425" i="1"/>
  <c r="AE425" i="1"/>
  <c r="AF425" i="1"/>
  <c r="AG425" i="1"/>
  <c r="AH425" i="1"/>
  <c r="AI425" i="1"/>
  <c r="AP425" i="1"/>
  <c r="AQ425" i="1"/>
  <c r="AR425" i="1"/>
  <c r="AS425" i="1"/>
  <c r="AU425" i="1"/>
  <c r="AV425" i="1"/>
  <c r="AX425" i="1"/>
  <c r="BK425" i="1"/>
  <c r="BL425" i="1"/>
  <c r="BM425" i="1"/>
  <c r="BP425" i="1"/>
  <c r="BR425" i="1"/>
  <c r="I426" i="1"/>
  <c r="J426" i="1"/>
  <c r="K426" i="1"/>
  <c r="L426" i="1"/>
  <c r="M426" i="1"/>
  <c r="N426" i="1"/>
  <c r="O426" i="1"/>
  <c r="P426" i="1"/>
  <c r="Q426" i="1"/>
  <c r="R426" i="1"/>
  <c r="S426" i="1"/>
  <c r="T426" i="1"/>
  <c r="U426" i="1"/>
  <c r="V426" i="1"/>
  <c r="W426" i="1"/>
  <c r="X426" i="1"/>
  <c r="Y426" i="1"/>
  <c r="Z426" i="1"/>
  <c r="AA426" i="1"/>
  <c r="AB426" i="1"/>
  <c r="AC426" i="1"/>
  <c r="AD426" i="1"/>
  <c r="AE426" i="1"/>
  <c r="AF426" i="1"/>
  <c r="AG426" i="1"/>
  <c r="AH426" i="1"/>
  <c r="AI426" i="1"/>
  <c r="AP426" i="1"/>
  <c r="AQ426" i="1"/>
  <c r="AR426" i="1"/>
  <c r="AS426" i="1"/>
  <c r="AU426" i="1"/>
  <c r="AV426" i="1"/>
  <c r="AX426" i="1"/>
  <c r="BK426" i="1"/>
  <c r="BL426" i="1"/>
  <c r="BM426" i="1"/>
  <c r="BP426" i="1"/>
  <c r="BR426" i="1"/>
  <c r="I427" i="1"/>
  <c r="J427" i="1"/>
  <c r="K427" i="1"/>
  <c r="L427" i="1"/>
  <c r="M427" i="1"/>
  <c r="N427" i="1"/>
  <c r="O427" i="1"/>
  <c r="P427" i="1"/>
  <c r="Q427" i="1"/>
  <c r="R427" i="1"/>
  <c r="S427" i="1"/>
  <c r="T427" i="1"/>
  <c r="U427" i="1"/>
  <c r="V427" i="1"/>
  <c r="W427" i="1"/>
  <c r="X427" i="1"/>
  <c r="Y427" i="1"/>
  <c r="Z427" i="1"/>
  <c r="AA427" i="1"/>
  <c r="AB427" i="1"/>
  <c r="AC427" i="1"/>
  <c r="AD427" i="1"/>
  <c r="AE427" i="1"/>
  <c r="AF427" i="1"/>
  <c r="AG427" i="1"/>
  <c r="AH427" i="1"/>
  <c r="AI427" i="1"/>
  <c r="AP427" i="1"/>
  <c r="AQ427" i="1"/>
  <c r="AR427" i="1"/>
  <c r="AS427" i="1"/>
  <c r="AU427" i="1"/>
  <c r="AV427" i="1"/>
  <c r="AX427" i="1"/>
  <c r="BK427" i="1"/>
  <c r="BL427" i="1"/>
  <c r="BM427" i="1"/>
  <c r="BP427" i="1"/>
  <c r="BR427" i="1"/>
  <c r="I428" i="1"/>
  <c r="J428" i="1"/>
  <c r="K428" i="1"/>
  <c r="L428" i="1"/>
  <c r="M428" i="1"/>
  <c r="N428" i="1"/>
  <c r="O428" i="1"/>
  <c r="P428" i="1"/>
  <c r="Q428" i="1"/>
  <c r="R428" i="1"/>
  <c r="S428" i="1"/>
  <c r="T428" i="1"/>
  <c r="U428" i="1"/>
  <c r="V428" i="1"/>
  <c r="W428" i="1"/>
  <c r="X428" i="1"/>
  <c r="Y428" i="1"/>
  <c r="Z428" i="1"/>
  <c r="AA428" i="1"/>
  <c r="AB428" i="1"/>
  <c r="AC428" i="1"/>
  <c r="AD428" i="1"/>
  <c r="AE428" i="1"/>
  <c r="AF428" i="1"/>
  <c r="AG428" i="1"/>
  <c r="AH428" i="1"/>
  <c r="AI428" i="1"/>
  <c r="AP428" i="1"/>
  <c r="AQ428" i="1"/>
  <c r="AR428" i="1"/>
  <c r="AS428" i="1"/>
  <c r="AU428" i="1"/>
  <c r="AV428" i="1"/>
  <c r="AX428" i="1"/>
  <c r="BK428" i="1"/>
  <c r="BL428" i="1"/>
  <c r="BM428" i="1"/>
  <c r="BP428" i="1"/>
  <c r="BR428" i="1"/>
  <c r="I429" i="1"/>
  <c r="J429" i="1"/>
  <c r="K429" i="1"/>
  <c r="L429" i="1"/>
  <c r="M429" i="1"/>
  <c r="N429" i="1"/>
  <c r="O429" i="1"/>
  <c r="P429" i="1"/>
  <c r="Q429" i="1"/>
  <c r="R429" i="1"/>
  <c r="S429" i="1"/>
  <c r="T429" i="1"/>
  <c r="U429" i="1"/>
  <c r="V429" i="1"/>
  <c r="W429" i="1"/>
  <c r="X429" i="1"/>
  <c r="Y429" i="1"/>
  <c r="Z429" i="1"/>
  <c r="AA429" i="1"/>
  <c r="AB429" i="1"/>
  <c r="AC429" i="1"/>
  <c r="AD429" i="1"/>
  <c r="AE429" i="1"/>
  <c r="AF429" i="1"/>
  <c r="AG429" i="1"/>
  <c r="AH429" i="1"/>
  <c r="AI429" i="1"/>
  <c r="AP429" i="1"/>
  <c r="AQ429" i="1"/>
  <c r="AR429" i="1"/>
  <c r="AS429" i="1"/>
  <c r="AU429" i="1"/>
  <c r="AV429" i="1"/>
  <c r="AX429" i="1"/>
  <c r="BK429" i="1"/>
  <c r="BL429" i="1"/>
  <c r="BM429" i="1"/>
  <c r="BP429" i="1"/>
  <c r="BR429" i="1"/>
  <c r="I430" i="1"/>
  <c r="J430" i="1"/>
  <c r="K430" i="1"/>
  <c r="L430" i="1"/>
  <c r="M430" i="1"/>
  <c r="N430" i="1"/>
  <c r="O430" i="1"/>
  <c r="P430" i="1"/>
  <c r="Q430" i="1"/>
  <c r="R430" i="1"/>
  <c r="S430" i="1"/>
  <c r="T430" i="1"/>
  <c r="U430" i="1"/>
  <c r="V430" i="1"/>
  <c r="W430" i="1"/>
  <c r="X430" i="1"/>
  <c r="Y430" i="1"/>
  <c r="Z430" i="1"/>
  <c r="AA430" i="1"/>
  <c r="AB430" i="1"/>
  <c r="AC430" i="1"/>
  <c r="AD430" i="1"/>
  <c r="AE430" i="1"/>
  <c r="AF430" i="1"/>
  <c r="AG430" i="1"/>
  <c r="AH430" i="1"/>
  <c r="AI430" i="1"/>
  <c r="AP430" i="1"/>
  <c r="AQ430" i="1"/>
  <c r="AR430" i="1"/>
  <c r="AS430" i="1"/>
  <c r="AU430" i="1"/>
  <c r="AV430" i="1"/>
  <c r="AX430" i="1"/>
  <c r="BK430" i="1"/>
  <c r="BL430" i="1"/>
  <c r="BM430" i="1"/>
  <c r="BP430" i="1"/>
  <c r="BR430" i="1"/>
  <c r="I431" i="1"/>
  <c r="J431" i="1"/>
  <c r="K431" i="1"/>
  <c r="L431" i="1"/>
  <c r="M431" i="1"/>
  <c r="N431" i="1"/>
  <c r="O431" i="1"/>
  <c r="P431" i="1"/>
  <c r="Q431" i="1"/>
  <c r="R431" i="1"/>
  <c r="S431" i="1"/>
  <c r="T431" i="1"/>
  <c r="U431" i="1"/>
  <c r="V431" i="1"/>
  <c r="W431" i="1"/>
  <c r="X431" i="1"/>
  <c r="Y431" i="1"/>
  <c r="Z431" i="1"/>
  <c r="AA431" i="1"/>
  <c r="AB431" i="1"/>
  <c r="AC431" i="1"/>
  <c r="AD431" i="1"/>
  <c r="AE431" i="1"/>
  <c r="AF431" i="1"/>
  <c r="AG431" i="1"/>
  <c r="AH431" i="1"/>
  <c r="AI431" i="1"/>
  <c r="AP431" i="1"/>
  <c r="AQ431" i="1"/>
  <c r="AR431" i="1"/>
  <c r="AS431" i="1"/>
  <c r="AU431" i="1"/>
  <c r="AV431" i="1"/>
  <c r="AX431" i="1"/>
  <c r="BK431" i="1"/>
  <c r="BL431" i="1"/>
  <c r="BM431" i="1"/>
  <c r="BP431" i="1"/>
  <c r="BR431" i="1"/>
  <c r="I432" i="1"/>
  <c r="J432" i="1"/>
  <c r="K432" i="1"/>
  <c r="L432" i="1"/>
  <c r="M432" i="1"/>
  <c r="N432" i="1"/>
  <c r="O432" i="1"/>
  <c r="P432" i="1"/>
  <c r="Q432" i="1"/>
  <c r="R432" i="1"/>
  <c r="S432" i="1"/>
  <c r="T432" i="1"/>
  <c r="U432" i="1"/>
  <c r="V432" i="1"/>
  <c r="W432" i="1"/>
  <c r="X432" i="1"/>
  <c r="Y432" i="1"/>
  <c r="Z432" i="1"/>
  <c r="AA432" i="1"/>
  <c r="AB432" i="1"/>
  <c r="AC432" i="1"/>
  <c r="AD432" i="1"/>
  <c r="AE432" i="1"/>
  <c r="AF432" i="1"/>
  <c r="AG432" i="1"/>
  <c r="AH432" i="1"/>
  <c r="AI432" i="1"/>
  <c r="AP432" i="1"/>
  <c r="AQ432" i="1"/>
  <c r="AR432" i="1"/>
  <c r="AS432" i="1"/>
  <c r="AU432" i="1"/>
  <c r="AV432" i="1"/>
  <c r="AX432" i="1"/>
  <c r="BK432" i="1"/>
  <c r="BL432" i="1"/>
  <c r="BM432" i="1"/>
  <c r="BP432" i="1"/>
  <c r="BR432" i="1"/>
  <c r="I416" i="1"/>
  <c r="J416" i="1"/>
  <c r="K416" i="1"/>
  <c r="L416" i="1"/>
  <c r="M416" i="1"/>
  <c r="N416" i="1"/>
  <c r="O416" i="1"/>
  <c r="P416" i="1"/>
  <c r="Q416" i="1"/>
  <c r="R416" i="1"/>
  <c r="S416" i="1"/>
  <c r="T416" i="1"/>
  <c r="U416" i="1"/>
  <c r="V416" i="1"/>
  <c r="W416" i="1"/>
  <c r="X416" i="1"/>
  <c r="Y416" i="1"/>
  <c r="Z416" i="1"/>
  <c r="AA416" i="1"/>
  <c r="AB416" i="1"/>
  <c r="AC416" i="1"/>
  <c r="AD416" i="1"/>
  <c r="AE416" i="1"/>
  <c r="AF416" i="1"/>
  <c r="AG416" i="1"/>
  <c r="AH416" i="1"/>
  <c r="AI416" i="1"/>
  <c r="AP416" i="1"/>
  <c r="AQ416" i="1"/>
  <c r="AR416" i="1"/>
  <c r="AS416" i="1"/>
  <c r="AU416" i="1"/>
  <c r="AV416" i="1"/>
  <c r="AX416" i="1"/>
  <c r="BK416" i="1"/>
  <c r="BL416" i="1"/>
  <c r="BM416" i="1"/>
  <c r="BP416" i="1"/>
  <c r="BR416" i="1"/>
  <c r="I417" i="1"/>
  <c r="J417" i="1"/>
  <c r="K417" i="1"/>
  <c r="L417" i="1"/>
  <c r="M417" i="1"/>
  <c r="N417" i="1"/>
  <c r="O417" i="1"/>
  <c r="P417" i="1"/>
  <c r="Q417" i="1"/>
  <c r="R417" i="1"/>
  <c r="S417" i="1"/>
  <c r="T417" i="1"/>
  <c r="U417" i="1"/>
  <c r="V417" i="1"/>
  <c r="W417" i="1"/>
  <c r="X417" i="1"/>
  <c r="Y417" i="1"/>
  <c r="Z417" i="1"/>
  <c r="AA417" i="1"/>
  <c r="AB417" i="1"/>
  <c r="AC417" i="1"/>
  <c r="AD417" i="1"/>
  <c r="AE417" i="1"/>
  <c r="AF417" i="1"/>
  <c r="AG417" i="1"/>
  <c r="AH417" i="1"/>
  <c r="AI417" i="1"/>
  <c r="AP417" i="1"/>
  <c r="AQ417" i="1"/>
  <c r="AR417" i="1"/>
  <c r="AS417" i="1"/>
  <c r="AU417" i="1"/>
  <c r="AV417" i="1"/>
  <c r="AX417" i="1"/>
  <c r="BK417" i="1"/>
  <c r="BL417" i="1"/>
  <c r="BM417" i="1"/>
  <c r="BP417" i="1"/>
  <c r="BR417" i="1"/>
  <c r="I418" i="1"/>
  <c r="J418" i="1"/>
  <c r="K418" i="1"/>
  <c r="L418" i="1"/>
  <c r="M418" i="1"/>
  <c r="N418" i="1"/>
  <c r="O418" i="1"/>
  <c r="P418" i="1"/>
  <c r="Q418" i="1"/>
  <c r="R418" i="1"/>
  <c r="S418" i="1"/>
  <c r="T418" i="1"/>
  <c r="U418" i="1"/>
  <c r="V418" i="1"/>
  <c r="W418" i="1"/>
  <c r="X418" i="1"/>
  <c r="Y418" i="1"/>
  <c r="Z418" i="1"/>
  <c r="AA418" i="1"/>
  <c r="AB418" i="1"/>
  <c r="AC418" i="1"/>
  <c r="AD418" i="1"/>
  <c r="AE418" i="1"/>
  <c r="AF418" i="1"/>
  <c r="AG418" i="1"/>
  <c r="AH418" i="1"/>
  <c r="AI418" i="1"/>
  <c r="AP418" i="1"/>
  <c r="AQ418" i="1"/>
  <c r="AR418" i="1"/>
  <c r="AS418" i="1"/>
  <c r="AU418" i="1"/>
  <c r="AV418" i="1"/>
  <c r="AX418" i="1"/>
  <c r="BK418" i="1"/>
  <c r="BL418" i="1"/>
  <c r="BM418" i="1"/>
  <c r="BP418" i="1"/>
  <c r="BR418" i="1"/>
  <c r="I419" i="1"/>
  <c r="J419" i="1"/>
  <c r="K419" i="1"/>
  <c r="L419" i="1"/>
  <c r="M419" i="1"/>
  <c r="N419" i="1"/>
  <c r="O419" i="1"/>
  <c r="P419" i="1"/>
  <c r="Q419" i="1"/>
  <c r="R419" i="1"/>
  <c r="S419" i="1"/>
  <c r="T419" i="1"/>
  <c r="U419" i="1"/>
  <c r="V419" i="1"/>
  <c r="W419" i="1"/>
  <c r="X419" i="1"/>
  <c r="Y419" i="1"/>
  <c r="Z419" i="1"/>
  <c r="AA419" i="1"/>
  <c r="AB419" i="1"/>
  <c r="AC419" i="1"/>
  <c r="AD419" i="1"/>
  <c r="AE419" i="1"/>
  <c r="AF419" i="1"/>
  <c r="AG419" i="1"/>
  <c r="AH419" i="1"/>
  <c r="AI419" i="1"/>
  <c r="AP419" i="1"/>
  <c r="AQ419" i="1"/>
  <c r="AR419" i="1"/>
  <c r="AS419" i="1"/>
  <c r="AU419" i="1"/>
  <c r="AV419" i="1"/>
  <c r="AX419" i="1"/>
  <c r="BK419" i="1"/>
  <c r="BL419" i="1"/>
  <c r="BM419" i="1"/>
  <c r="BP419" i="1"/>
  <c r="BR419" i="1"/>
  <c r="I420" i="1"/>
  <c r="J420" i="1"/>
  <c r="K420" i="1"/>
  <c r="L420" i="1"/>
  <c r="M420" i="1"/>
  <c r="N420" i="1"/>
  <c r="O420" i="1"/>
  <c r="P420" i="1"/>
  <c r="Q420" i="1"/>
  <c r="R420" i="1"/>
  <c r="S420" i="1"/>
  <c r="T420" i="1"/>
  <c r="U420" i="1"/>
  <c r="V420" i="1"/>
  <c r="W420" i="1"/>
  <c r="X420" i="1"/>
  <c r="Y420" i="1"/>
  <c r="Z420" i="1"/>
  <c r="AA420" i="1"/>
  <c r="AB420" i="1"/>
  <c r="AC420" i="1"/>
  <c r="AD420" i="1"/>
  <c r="AE420" i="1"/>
  <c r="AF420" i="1"/>
  <c r="AG420" i="1"/>
  <c r="AH420" i="1"/>
  <c r="AI420" i="1"/>
  <c r="AP420" i="1"/>
  <c r="AQ420" i="1"/>
  <c r="AR420" i="1"/>
  <c r="AS420" i="1"/>
  <c r="AU420" i="1"/>
  <c r="AV420" i="1"/>
  <c r="AX420" i="1"/>
  <c r="BK420" i="1"/>
  <c r="BL420" i="1"/>
  <c r="BM420" i="1"/>
  <c r="BP420" i="1"/>
  <c r="BR420" i="1"/>
  <c r="I407" i="1"/>
  <c r="J407" i="1"/>
  <c r="K407" i="1"/>
  <c r="L407" i="1"/>
  <c r="M407" i="1"/>
  <c r="N407" i="1"/>
  <c r="O407" i="1"/>
  <c r="P407" i="1"/>
  <c r="Q407" i="1"/>
  <c r="R407" i="1"/>
  <c r="S407" i="1"/>
  <c r="T407" i="1"/>
  <c r="U407" i="1"/>
  <c r="V407" i="1"/>
  <c r="W407" i="1"/>
  <c r="X407" i="1"/>
  <c r="Y407" i="1"/>
  <c r="Z407" i="1"/>
  <c r="AA407" i="1"/>
  <c r="AB407" i="1"/>
  <c r="AC407" i="1"/>
  <c r="AD407" i="1"/>
  <c r="AE407" i="1"/>
  <c r="AF407" i="1"/>
  <c r="AG407" i="1"/>
  <c r="AH407" i="1"/>
  <c r="AI407" i="1"/>
  <c r="AP407" i="1"/>
  <c r="AQ407" i="1"/>
  <c r="AR407" i="1"/>
  <c r="AS407" i="1"/>
  <c r="AU407" i="1"/>
  <c r="AV407" i="1"/>
  <c r="AX407" i="1"/>
  <c r="BK407" i="1"/>
  <c r="BL407" i="1"/>
  <c r="BM407" i="1"/>
  <c r="BP407" i="1"/>
  <c r="BR407" i="1"/>
  <c r="I408" i="1"/>
  <c r="J408" i="1"/>
  <c r="K408" i="1"/>
  <c r="L408" i="1"/>
  <c r="M408" i="1"/>
  <c r="N408" i="1"/>
  <c r="O408" i="1"/>
  <c r="P408" i="1"/>
  <c r="Q408" i="1"/>
  <c r="R408" i="1"/>
  <c r="S408" i="1"/>
  <c r="T408" i="1"/>
  <c r="U408" i="1"/>
  <c r="V408" i="1"/>
  <c r="W408" i="1"/>
  <c r="X408" i="1"/>
  <c r="Y408" i="1"/>
  <c r="Z408" i="1"/>
  <c r="AA408" i="1"/>
  <c r="AB408" i="1"/>
  <c r="AC408" i="1"/>
  <c r="AD408" i="1"/>
  <c r="AE408" i="1"/>
  <c r="AF408" i="1"/>
  <c r="AG408" i="1"/>
  <c r="AH408" i="1"/>
  <c r="AI408" i="1"/>
  <c r="AP408" i="1"/>
  <c r="AQ408" i="1"/>
  <c r="AR408" i="1"/>
  <c r="AS408" i="1"/>
  <c r="AU408" i="1"/>
  <c r="AV408" i="1"/>
  <c r="AX408" i="1"/>
  <c r="BK408" i="1"/>
  <c r="BL408" i="1"/>
  <c r="BM408" i="1"/>
  <c r="BP408" i="1"/>
  <c r="BR408" i="1"/>
  <c r="I409" i="1"/>
  <c r="J409" i="1"/>
  <c r="K409" i="1"/>
  <c r="L409" i="1"/>
  <c r="M409" i="1"/>
  <c r="N409" i="1"/>
  <c r="O409" i="1"/>
  <c r="P409" i="1"/>
  <c r="Q409" i="1"/>
  <c r="R409" i="1"/>
  <c r="S409" i="1"/>
  <c r="T409" i="1"/>
  <c r="U409" i="1"/>
  <c r="V409" i="1"/>
  <c r="W409" i="1"/>
  <c r="X409" i="1"/>
  <c r="Y409" i="1"/>
  <c r="Z409" i="1"/>
  <c r="AA409" i="1"/>
  <c r="AB409" i="1"/>
  <c r="AC409" i="1"/>
  <c r="AD409" i="1"/>
  <c r="AE409" i="1"/>
  <c r="AF409" i="1"/>
  <c r="AG409" i="1"/>
  <c r="AH409" i="1"/>
  <c r="AI409" i="1"/>
  <c r="AP409" i="1"/>
  <c r="AQ409" i="1"/>
  <c r="AR409" i="1"/>
  <c r="AS409" i="1"/>
  <c r="AU409" i="1"/>
  <c r="AV409" i="1"/>
  <c r="AX409" i="1"/>
  <c r="BK409" i="1"/>
  <c r="BL409" i="1"/>
  <c r="BM409" i="1"/>
  <c r="BP409" i="1"/>
  <c r="BR409" i="1"/>
  <c r="I410" i="1"/>
  <c r="J410" i="1"/>
  <c r="K410" i="1"/>
  <c r="L410" i="1"/>
  <c r="M410" i="1"/>
  <c r="N410" i="1"/>
  <c r="O410" i="1"/>
  <c r="P410" i="1"/>
  <c r="Q410" i="1"/>
  <c r="R410" i="1"/>
  <c r="S410" i="1"/>
  <c r="T410" i="1"/>
  <c r="U410" i="1"/>
  <c r="V410" i="1"/>
  <c r="W410" i="1"/>
  <c r="X410" i="1"/>
  <c r="Y410" i="1"/>
  <c r="Z410" i="1"/>
  <c r="AA410" i="1"/>
  <c r="AB410" i="1"/>
  <c r="AC410" i="1"/>
  <c r="AD410" i="1"/>
  <c r="AE410" i="1"/>
  <c r="AF410" i="1"/>
  <c r="AG410" i="1"/>
  <c r="AH410" i="1"/>
  <c r="AI410" i="1"/>
  <c r="AP410" i="1"/>
  <c r="AQ410" i="1"/>
  <c r="AR410" i="1"/>
  <c r="AS410" i="1"/>
  <c r="AU410" i="1"/>
  <c r="AV410" i="1"/>
  <c r="AX410" i="1"/>
  <c r="BK410" i="1"/>
  <c r="BL410" i="1"/>
  <c r="BM410" i="1"/>
  <c r="BP410" i="1"/>
  <c r="BR410" i="1"/>
  <c r="I411" i="1"/>
  <c r="J411" i="1"/>
  <c r="K411" i="1"/>
  <c r="L411" i="1"/>
  <c r="M411" i="1"/>
  <c r="N411" i="1"/>
  <c r="O411" i="1"/>
  <c r="P411" i="1"/>
  <c r="Q411" i="1"/>
  <c r="R411" i="1"/>
  <c r="S411" i="1"/>
  <c r="T411" i="1"/>
  <c r="U411" i="1"/>
  <c r="V411" i="1"/>
  <c r="W411" i="1"/>
  <c r="X411" i="1"/>
  <c r="Y411" i="1"/>
  <c r="Z411" i="1"/>
  <c r="AA411" i="1"/>
  <c r="AB411" i="1"/>
  <c r="AC411" i="1"/>
  <c r="AD411" i="1"/>
  <c r="AE411" i="1"/>
  <c r="AF411" i="1"/>
  <c r="AG411" i="1"/>
  <c r="AH411" i="1"/>
  <c r="AI411" i="1"/>
  <c r="AP411" i="1"/>
  <c r="AQ411" i="1"/>
  <c r="AR411" i="1"/>
  <c r="AS411" i="1"/>
  <c r="AU411" i="1"/>
  <c r="AV411" i="1"/>
  <c r="AX411" i="1"/>
  <c r="BK411" i="1"/>
  <c r="BL411" i="1"/>
  <c r="BM411" i="1"/>
  <c r="BP411" i="1"/>
  <c r="BR411" i="1"/>
  <c r="I405" i="1"/>
  <c r="J405" i="1"/>
  <c r="K405" i="1"/>
  <c r="L405" i="1"/>
  <c r="M405" i="1"/>
  <c r="N405" i="1"/>
  <c r="O405" i="1"/>
  <c r="P405" i="1"/>
  <c r="Q405" i="1"/>
  <c r="R405" i="1"/>
  <c r="S405" i="1"/>
  <c r="T405" i="1"/>
  <c r="U405" i="1"/>
  <c r="V405" i="1"/>
  <c r="W405" i="1"/>
  <c r="X405" i="1"/>
  <c r="Y405" i="1"/>
  <c r="Z405" i="1"/>
  <c r="AA405" i="1"/>
  <c r="AB405" i="1"/>
  <c r="AC405" i="1"/>
  <c r="AD405" i="1"/>
  <c r="AE405" i="1"/>
  <c r="AF405" i="1"/>
  <c r="AG405" i="1"/>
  <c r="AH405" i="1"/>
  <c r="AI405" i="1"/>
  <c r="AP405" i="1"/>
  <c r="AQ405" i="1"/>
  <c r="AR405" i="1"/>
  <c r="AS405" i="1"/>
  <c r="AU405" i="1"/>
  <c r="AV405" i="1"/>
  <c r="AX405" i="1"/>
  <c r="BK405" i="1"/>
  <c r="BL405" i="1"/>
  <c r="BM405" i="1"/>
  <c r="BP405" i="1"/>
  <c r="BR405" i="1"/>
  <c r="I412" i="1"/>
  <c r="J412" i="1"/>
  <c r="K412" i="1"/>
  <c r="L412" i="1"/>
  <c r="M412" i="1"/>
  <c r="N412" i="1"/>
  <c r="O412" i="1"/>
  <c r="P412" i="1"/>
  <c r="Q412" i="1"/>
  <c r="R412" i="1"/>
  <c r="S412" i="1"/>
  <c r="T412" i="1"/>
  <c r="U412" i="1"/>
  <c r="V412" i="1"/>
  <c r="W412" i="1"/>
  <c r="X412" i="1"/>
  <c r="Y412" i="1"/>
  <c r="Z412" i="1"/>
  <c r="AA412" i="1"/>
  <c r="AB412" i="1"/>
  <c r="AC412" i="1"/>
  <c r="AD412" i="1"/>
  <c r="AE412" i="1"/>
  <c r="AF412" i="1"/>
  <c r="AG412" i="1"/>
  <c r="AH412" i="1"/>
  <c r="AI412" i="1"/>
  <c r="AP412" i="1"/>
  <c r="AQ412" i="1"/>
  <c r="AR412" i="1"/>
  <c r="AS412" i="1"/>
  <c r="AU412" i="1"/>
  <c r="AV412" i="1"/>
  <c r="AX412" i="1"/>
  <c r="BK412" i="1"/>
  <c r="BL412" i="1"/>
  <c r="BM412" i="1"/>
  <c r="BP412" i="1"/>
  <c r="BR412" i="1"/>
  <c r="I413" i="1"/>
  <c r="J413" i="1"/>
  <c r="K413" i="1"/>
  <c r="L413" i="1"/>
  <c r="M413" i="1"/>
  <c r="N413" i="1"/>
  <c r="O413" i="1"/>
  <c r="P413" i="1"/>
  <c r="Q413" i="1"/>
  <c r="R413" i="1"/>
  <c r="S413" i="1"/>
  <c r="T413" i="1"/>
  <c r="U413" i="1"/>
  <c r="V413" i="1"/>
  <c r="W413" i="1"/>
  <c r="X413" i="1"/>
  <c r="Y413" i="1"/>
  <c r="Z413" i="1"/>
  <c r="AA413" i="1"/>
  <c r="AB413" i="1"/>
  <c r="AC413" i="1"/>
  <c r="AD413" i="1"/>
  <c r="AE413" i="1"/>
  <c r="AF413" i="1"/>
  <c r="AG413" i="1"/>
  <c r="AH413" i="1"/>
  <c r="AI413" i="1"/>
  <c r="AP413" i="1"/>
  <c r="AQ413" i="1"/>
  <c r="AR413" i="1"/>
  <c r="AS413" i="1"/>
  <c r="AU413" i="1"/>
  <c r="AV413" i="1"/>
  <c r="AX413" i="1"/>
  <c r="BK413" i="1"/>
  <c r="BL413" i="1"/>
  <c r="BM413" i="1"/>
  <c r="BP413" i="1"/>
  <c r="BR413" i="1"/>
  <c r="I396" i="1"/>
  <c r="J396" i="1"/>
  <c r="K396" i="1"/>
  <c r="L396" i="1"/>
  <c r="M396" i="1"/>
  <c r="N396" i="1"/>
  <c r="O396" i="1"/>
  <c r="P396" i="1"/>
  <c r="Q396" i="1"/>
  <c r="R396" i="1"/>
  <c r="S396" i="1"/>
  <c r="T396" i="1"/>
  <c r="U396" i="1"/>
  <c r="V396" i="1"/>
  <c r="W396" i="1"/>
  <c r="X396" i="1"/>
  <c r="Y396" i="1"/>
  <c r="Z396" i="1"/>
  <c r="AA396" i="1"/>
  <c r="AB396" i="1"/>
  <c r="AC396" i="1"/>
  <c r="AD396" i="1"/>
  <c r="AE396" i="1"/>
  <c r="AF396" i="1"/>
  <c r="AG396" i="1"/>
  <c r="AH396" i="1"/>
  <c r="AI396" i="1"/>
  <c r="AP396" i="1"/>
  <c r="AQ396" i="1"/>
  <c r="AR396" i="1"/>
  <c r="AS396" i="1"/>
  <c r="AU396" i="1"/>
  <c r="AV396" i="1"/>
  <c r="AX396" i="1"/>
  <c r="BK396" i="1"/>
  <c r="BL396" i="1"/>
  <c r="BM396" i="1"/>
  <c r="BP396" i="1"/>
  <c r="BR396" i="1"/>
  <c r="I397" i="1"/>
  <c r="J397" i="1"/>
  <c r="K397" i="1"/>
  <c r="L397" i="1"/>
  <c r="M397" i="1"/>
  <c r="N397" i="1"/>
  <c r="O397" i="1"/>
  <c r="P397" i="1"/>
  <c r="Q397" i="1"/>
  <c r="R397" i="1"/>
  <c r="S397" i="1"/>
  <c r="T397" i="1"/>
  <c r="U397" i="1"/>
  <c r="V397" i="1"/>
  <c r="W397" i="1"/>
  <c r="X397" i="1"/>
  <c r="Y397" i="1"/>
  <c r="Z397" i="1"/>
  <c r="AA397" i="1"/>
  <c r="AB397" i="1"/>
  <c r="AC397" i="1"/>
  <c r="AD397" i="1"/>
  <c r="AE397" i="1"/>
  <c r="AF397" i="1"/>
  <c r="AG397" i="1"/>
  <c r="AH397" i="1"/>
  <c r="AI397" i="1"/>
  <c r="AP397" i="1"/>
  <c r="AQ397" i="1"/>
  <c r="AR397" i="1"/>
  <c r="AS397" i="1"/>
  <c r="AU397" i="1"/>
  <c r="AV397" i="1"/>
  <c r="AX397" i="1"/>
  <c r="BK397" i="1"/>
  <c r="BL397" i="1"/>
  <c r="BM397" i="1"/>
  <c r="BP397" i="1"/>
  <c r="BR397" i="1"/>
  <c r="I398" i="1"/>
  <c r="J398" i="1"/>
  <c r="K398" i="1"/>
  <c r="L398" i="1"/>
  <c r="M398" i="1"/>
  <c r="N398" i="1"/>
  <c r="O398" i="1"/>
  <c r="P398" i="1"/>
  <c r="Q398" i="1"/>
  <c r="R398" i="1"/>
  <c r="S398" i="1"/>
  <c r="T398" i="1"/>
  <c r="U398" i="1"/>
  <c r="V398" i="1"/>
  <c r="W398" i="1"/>
  <c r="X398" i="1"/>
  <c r="Y398" i="1"/>
  <c r="Z398" i="1"/>
  <c r="AA398" i="1"/>
  <c r="AB398" i="1"/>
  <c r="AC398" i="1"/>
  <c r="AD398" i="1"/>
  <c r="AE398" i="1"/>
  <c r="AF398" i="1"/>
  <c r="AG398" i="1"/>
  <c r="AH398" i="1"/>
  <c r="AI398" i="1"/>
  <c r="AP398" i="1"/>
  <c r="AQ398" i="1"/>
  <c r="AR398" i="1"/>
  <c r="AS398" i="1"/>
  <c r="AU398" i="1"/>
  <c r="AV398" i="1"/>
  <c r="AX398" i="1"/>
  <c r="BK398" i="1"/>
  <c r="BL398" i="1"/>
  <c r="BM398" i="1"/>
  <c r="BP398" i="1"/>
  <c r="BR398" i="1"/>
  <c r="I399" i="1"/>
  <c r="J399" i="1"/>
  <c r="K399" i="1"/>
  <c r="L399" i="1"/>
  <c r="M399" i="1"/>
  <c r="N399" i="1"/>
  <c r="O399" i="1"/>
  <c r="P399" i="1"/>
  <c r="Q399" i="1"/>
  <c r="R399" i="1"/>
  <c r="S399" i="1"/>
  <c r="T399" i="1"/>
  <c r="U399" i="1"/>
  <c r="V399" i="1"/>
  <c r="W399" i="1"/>
  <c r="X399" i="1"/>
  <c r="Y399" i="1"/>
  <c r="Z399" i="1"/>
  <c r="AA399" i="1"/>
  <c r="AB399" i="1"/>
  <c r="AC399" i="1"/>
  <c r="AD399" i="1"/>
  <c r="AE399" i="1"/>
  <c r="AF399" i="1"/>
  <c r="AG399" i="1"/>
  <c r="AH399" i="1"/>
  <c r="AI399" i="1"/>
  <c r="AP399" i="1"/>
  <c r="AQ399" i="1"/>
  <c r="AR399" i="1"/>
  <c r="AS399" i="1"/>
  <c r="AU399" i="1"/>
  <c r="AV399" i="1"/>
  <c r="AX399" i="1"/>
  <c r="BK399" i="1"/>
  <c r="BL399" i="1"/>
  <c r="BM399" i="1"/>
  <c r="BP399" i="1"/>
  <c r="BR399" i="1"/>
  <c r="I400" i="1"/>
  <c r="J400" i="1"/>
  <c r="K400" i="1"/>
  <c r="L400" i="1"/>
  <c r="M400" i="1"/>
  <c r="N400" i="1"/>
  <c r="O400" i="1"/>
  <c r="P400" i="1"/>
  <c r="Q400" i="1"/>
  <c r="R400" i="1"/>
  <c r="S400" i="1"/>
  <c r="T400" i="1"/>
  <c r="U400" i="1"/>
  <c r="V400" i="1"/>
  <c r="W400" i="1"/>
  <c r="X400" i="1"/>
  <c r="Y400" i="1"/>
  <c r="Z400" i="1"/>
  <c r="AA400" i="1"/>
  <c r="AB400" i="1"/>
  <c r="AC400" i="1"/>
  <c r="AD400" i="1"/>
  <c r="AE400" i="1"/>
  <c r="AF400" i="1"/>
  <c r="AG400" i="1"/>
  <c r="AH400" i="1"/>
  <c r="AI400" i="1"/>
  <c r="AP400" i="1"/>
  <c r="AQ400" i="1"/>
  <c r="AR400" i="1"/>
  <c r="AS400" i="1"/>
  <c r="AU400" i="1"/>
  <c r="AV400" i="1"/>
  <c r="AX400" i="1"/>
  <c r="BK400" i="1"/>
  <c r="BL400" i="1"/>
  <c r="BM400" i="1"/>
  <c r="BP400" i="1"/>
  <c r="BR400" i="1"/>
  <c r="I401" i="1"/>
  <c r="J401" i="1"/>
  <c r="K401" i="1"/>
  <c r="L401" i="1"/>
  <c r="M401" i="1"/>
  <c r="N401" i="1"/>
  <c r="O401" i="1"/>
  <c r="P401" i="1"/>
  <c r="Q401" i="1"/>
  <c r="R401" i="1"/>
  <c r="S401" i="1"/>
  <c r="T401" i="1"/>
  <c r="U401" i="1"/>
  <c r="V401" i="1"/>
  <c r="W401" i="1"/>
  <c r="X401" i="1"/>
  <c r="Y401" i="1"/>
  <c r="Z401" i="1"/>
  <c r="AA401" i="1"/>
  <c r="AB401" i="1"/>
  <c r="AC401" i="1"/>
  <c r="AD401" i="1"/>
  <c r="AE401" i="1"/>
  <c r="AF401" i="1"/>
  <c r="AG401" i="1"/>
  <c r="AH401" i="1"/>
  <c r="AI401" i="1"/>
  <c r="AP401" i="1"/>
  <c r="AQ401" i="1"/>
  <c r="AR401" i="1"/>
  <c r="AS401" i="1"/>
  <c r="AU401" i="1"/>
  <c r="AV401" i="1"/>
  <c r="AX401" i="1"/>
  <c r="BK401" i="1"/>
  <c r="BL401" i="1"/>
  <c r="BM401" i="1"/>
  <c r="BP401" i="1"/>
  <c r="BR401" i="1"/>
  <c r="I391" i="1"/>
  <c r="J391" i="1"/>
  <c r="K391" i="1"/>
  <c r="L391" i="1"/>
  <c r="M391" i="1"/>
  <c r="N391" i="1"/>
  <c r="O391" i="1"/>
  <c r="P391" i="1"/>
  <c r="Q391" i="1"/>
  <c r="R391" i="1"/>
  <c r="S391" i="1"/>
  <c r="T391" i="1"/>
  <c r="U391" i="1"/>
  <c r="V391" i="1"/>
  <c r="W391" i="1"/>
  <c r="X391" i="1"/>
  <c r="Y391" i="1"/>
  <c r="Z391" i="1"/>
  <c r="AA391" i="1"/>
  <c r="AB391" i="1"/>
  <c r="AC391" i="1"/>
  <c r="AD391" i="1"/>
  <c r="AE391" i="1"/>
  <c r="AF391" i="1"/>
  <c r="AG391" i="1"/>
  <c r="AH391" i="1"/>
  <c r="AI391" i="1"/>
  <c r="AP391" i="1"/>
  <c r="AQ391" i="1"/>
  <c r="AR391" i="1"/>
  <c r="AS391" i="1"/>
  <c r="AU391" i="1"/>
  <c r="AV391" i="1"/>
  <c r="AX391" i="1"/>
  <c r="BK391" i="1"/>
  <c r="BL391" i="1"/>
  <c r="BM391" i="1"/>
  <c r="BP391" i="1"/>
  <c r="BR391" i="1"/>
  <c r="I392" i="1"/>
  <c r="J392" i="1"/>
  <c r="K392" i="1"/>
  <c r="L392" i="1"/>
  <c r="M392" i="1"/>
  <c r="N392" i="1"/>
  <c r="O392" i="1"/>
  <c r="P392" i="1"/>
  <c r="Q392" i="1"/>
  <c r="R392" i="1"/>
  <c r="S392" i="1"/>
  <c r="T392" i="1"/>
  <c r="U392" i="1"/>
  <c r="V392" i="1"/>
  <c r="W392" i="1"/>
  <c r="X392" i="1"/>
  <c r="Y392" i="1"/>
  <c r="Z392" i="1"/>
  <c r="AA392" i="1"/>
  <c r="AB392" i="1"/>
  <c r="AC392" i="1"/>
  <c r="AD392" i="1"/>
  <c r="AE392" i="1"/>
  <c r="AF392" i="1"/>
  <c r="AG392" i="1"/>
  <c r="AH392" i="1"/>
  <c r="AI392" i="1"/>
  <c r="AP392" i="1"/>
  <c r="AQ392" i="1"/>
  <c r="AR392" i="1"/>
  <c r="AS392" i="1"/>
  <c r="AU392" i="1"/>
  <c r="AV392" i="1"/>
  <c r="AX392" i="1"/>
  <c r="BK392" i="1"/>
  <c r="BL392" i="1"/>
  <c r="BM392" i="1"/>
  <c r="BP392" i="1"/>
  <c r="BR392" i="1"/>
  <c r="I393" i="1"/>
  <c r="J393" i="1"/>
  <c r="K393" i="1"/>
  <c r="L393" i="1"/>
  <c r="M393" i="1"/>
  <c r="N393" i="1"/>
  <c r="O393" i="1"/>
  <c r="P393" i="1"/>
  <c r="Q393" i="1"/>
  <c r="R393" i="1"/>
  <c r="S393" i="1"/>
  <c r="T393" i="1"/>
  <c r="U393" i="1"/>
  <c r="V393" i="1"/>
  <c r="W393" i="1"/>
  <c r="X393" i="1"/>
  <c r="Y393" i="1"/>
  <c r="Z393" i="1"/>
  <c r="AA393" i="1"/>
  <c r="AB393" i="1"/>
  <c r="AC393" i="1"/>
  <c r="AD393" i="1"/>
  <c r="AE393" i="1"/>
  <c r="AF393" i="1"/>
  <c r="AG393" i="1"/>
  <c r="AH393" i="1"/>
  <c r="AI393" i="1"/>
  <c r="AP393" i="1"/>
  <c r="AQ393" i="1"/>
  <c r="AR393" i="1"/>
  <c r="AS393" i="1"/>
  <c r="AU393" i="1"/>
  <c r="AV393" i="1"/>
  <c r="AX393" i="1"/>
  <c r="BK393" i="1"/>
  <c r="BL393" i="1"/>
  <c r="BM393" i="1"/>
  <c r="BP393" i="1"/>
  <c r="BR393" i="1"/>
  <c r="I394" i="1"/>
  <c r="J394" i="1"/>
  <c r="K394" i="1"/>
  <c r="L394" i="1"/>
  <c r="M394" i="1"/>
  <c r="N394" i="1"/>
  <c r="O394" i="1"/>
  <c r="P394" i="1"/>
  <c r="Q394" i="1"/>
  <c r="R394" i="1"/>
  <c r="S394" i="1"/>
  <c r="T394" i="1"/>
  <c r="U394" i="1"/>
  <c r="V394" i="1"/>
  <c r="W394" i="1"/>
  <c r="X394" i="1"/>
  <c r="Y394" i="1"/>
  <c r="Z394" i="1"/>
  <c r="AA394" i="1"/>
  <c r="AB394" i="1"/>
  <c r="AC394" i="1"/>
  <c r="AD394" i="1"/>
  <c r="AE394" i="1"/>
  <c r="AF394" i="1"/>
  <c r="AG394" i="1"/>
  <c r="AH394" i="1"/>
  <c r="AI394" i="1"/>
  <c r="AP394" i="1"/>
  <c r="AQ394" i="1"/>
  <c r="AR394" i="1"/>
  <c r="AS394" i="1"/>
  <c r="AU394" i="1"/>
  <c r="AV394" i="1"/>
  <c r="AX394" i="1"/>
  <c r="BK394" i="1"/>
  <c r="BL394" i="1"/>
  <c r="BM394" i="1"/>
  <c r="BP394" i="1"/>
  <c r="BR394" i="1"/>
  <c r="I395" i="1"/>
  <c r="J395" i="1"/>
  <c r="K395" i="1"/>
  <c r="L395" i="1"/>
  <c r="M395" i="1"/>
  <c r="N395" i="1"/>
  <c r="O395" i="1"/>
  <c r="P395" i="1"/>
  <c r="Q395" i="1"/>
  <c r="R395" i="1"/>
  <c r="S395" i="1"/>
  <c r="T395" i="1"/>
  <c r="U395" i="1"/>
  <c r="V395" i="1"/>
  <c r="W395" i="1"/>
  <c r="Y395" i="1"/>
  <c r="Z395" i="1"/>
  <c r="AA395" i="1"/>
  <c r="AB395" i="1"/>
  <c r="AC395" i="1"/>
  <c r="AD395" i="1"/>
  <c r="AE395" i="1"/>
  <c r="AF395" i="1"/>
  <c r="AG395" i="1"/>
  <c r="AH395" i="1"/>
  <c r="AI395" i="1"/>
  <c r="AP395" i="1"/>
  <c r="AQ395" i="1"/>
  <c r="AR395" i="1"/>
  <c r="AS395" i="1"/>
  <c r="AU395" i="1"/>
  <c r="AV395" i="1"/>
  <c r="AX395" i="1"/>
  <c r="BK395" i="1"/>
  <c r="BL395" i="1"/>
  <c r="BM395" i="1"/>
  <c r="BP395" i="1"/>
  <c r="BR395" i="1"/>
  <c r="I381" i="1"/>
  <c r="J381" i="1"/>
  <c r="K381" i="1"/>
  <c r="L381" i="1"/>
  <c r="M381" i="1"/>
  <c r="N381" i="1"/>
  <c r="O381" i="1"/>
  <c r="P381" i="1"/>
  <c r="Q381" i="1"/>
  <c r="R381" i="1"/>
  <c r="S381" i="1"/>
  <c r="T381" i="1"/>
  <c r="U381" i="1"/>
  <c r="V381" i="1"/>
  <c r="W381" i="1"/>
  <c r="X381" i="1"/>
  <c r="Y381" i="1"/>
  <c r="Z381" i="1"/>
  <c r="AA381" i="1"/>
  <c r="AB381" i="1"/>
  <c r="AC381" i="1"/>
  <c r="AD381" i="1"/>
  <c r="AE381" i="1"/>
  <c r="AF381" i="1"/>
  <c r="AG381" i="1"/>
  <c r="AH381" i="1"/>
  <c r="AI381" i="1"/>
  <c r="AP381" i="1"/>
  <c r="AQ381" i="1"/>
  <c r="AR381" i="1"/>
  <c r="AS381" i="1"/>
  <c r="AU381" i="1"/>
  <c r="AV381" i="1"/>
  <c r="AX381" i="1"/>
  <c r="BK381" i="1"/>
  <c r="BL381" i="1"/>
  <c r="BM381" i="1"/>
  <c r="BP381" i="1"/>
  <c r="BR381" i="1"/>
  <c r="I298" i="1"/>
  <c r="J298" i="1"/>
  <c r="K298" i="1"/>
  <c r="L298" i="1"/>
  <c r="M298" i="1"/>
  <c r="N298" i="1"/>
  <c r="O298" i="1"/>
  <c r="P298" i="1"/>
  <c r="Q298" i="1"/>
  <c r="R298" i="1"/>
  <c r="S298" i="1"/>
  <c r="T298" i="1"/>
  <c r="U298" i="1"/>
  <c r="V298" i="1"/>
  <c r="W298" i="1"/>
  <c r="X298" i="1"/>
  <c r="Y298" i="1"/>
  <c r="Z298" i="1"/>
  <c r="AA298" i="1"/>
  <c r="AB298" i="1"/>
  <c r="AC298" i="1"/>
  <c r="AD298" i="1"/>
  <c r="AE298" i="1"/>
  <c r="AF298" i="1"/>
  <c r="AG298" i="1"/>
  <c r="AH298" i="1"/>
  <c r="AI298" i="1"/>
  <c r="AP298" i="1"/>
  <c r="AQ298" i="1"/>
  <c r="AR298" i="1"/>
  <c r="AS298" i="1"/>
  <c r="AU298" i="1"/>
  <c r="AV298" i="1"/>
  <c r="AX298" i="1"/>
  <c r="BK298" i="1"/>
  <c r="BL298" i="1"/>
  <c r="BM298" i="1"/>
  <c r="BP298" i="1"/>
  <c r="BR298" i="1"/>
  <c r="I382" i="1"/>
  <c r="J382" i="1"/>
  <c r="K382" i="1"/>
  <c r="L382" i="1"/>
  <c r="M382" i="1"/>
  <c r="N382" i="1"/>
  <c r="O382" i="1"/>
  <c r="P382" i="1"/>
  <c r="Q382" i="1"/>
  <c r="R382" i="1"/>
  <c r="S382" i="1"/>
  <c r="T382" i="1"/>
  <c r="U382" i="1"/>
  <c r="V382" i="1"/>
  <c r="W382" i="1"/>
  <c r="X382" i="1"/>
  <c r="Y382" i="1"/>
  <c r="Z382" i="1"/>
  <c r="AA382" i="1"/>
  <c r="AB382" i="1"/>
  <c r="AC382" i="1"/>
  <c r="AD382" i="1"/>
  <c r="AE382" i="1"/>
  <c r="AF382" i="1"/>
  <c r="AG382" i="1"/>
  <c r="AH382" i="1"/>
  <c r="AI382" i="1"/>
  <c r="AP382" i="1"/>
  <c r="AQ382" i="1"/>
  <c r="AR382" i="1"/>
  <c r="AS382" i="1"/>
  <c r="AU382" i="1"/>
  <c r="AV382" i="1"/>
  <c r="AX382" i="1"/>
  <c r="BK382" i="1"/>
  <c r="BL382" i="1"/>
  <c r="BM382" i="1"/>
  <c r="BP382" i="1"/>
  <c r="BR382" i="1"/>
  <c r="I383" i="1"/>
  <c r="J383" i="1"/>
  <c r="K383" i="1"/>
  <c r="L383" i="1"/>
  <c r="M383" i="1"/>
  <c r="N383" i="1"/>
  <c r="O383" i="1"/>
  <c r="P383" i="1"/>
  <c r="Q383" i="1"/>
  <c r="R383" i="1"/>
  <c r="S383" i="1"/>
  <c r="T383" i="1"/>
  <c r="U383" i="1"/>
  <c r="V383" i="1"/>
  <c r="W383" i="1"/>
  <c r="X383" i="1"/>
  <c r="Y383" i="1"/>
  <c r="Z383" i="1"/>
  <c r="AA383" i="1"/>
  <c r="AB383" i="1"/>
  <c r="AC383" i="1"/>
  <c r="AD383" i="1"/>
  <c r="AE383" i="1"/>
  <c r="AF383" i="1"/>
  <c r="AG383" i="1"/>
  <c r="AH383" i="1"/>
  <c r="AI383" i="1"/>
  <c r="AP383" i="1"/>
  <c r="AQ383" i="1"/>
  <c r="AR383" i="1"/>
  <c r="AS383" i="1"/>
  <c r="AU383" i="1"/>
  <c r="AV383" i="1"/>
  <c r="AX383" i="1"/>
  <c r="BK383" i="1"/>
  <c r="BL383" i="1"/>
  <c r="BM383" i="1"/>
  <c r="BP383" i="1"/>
  <c r="BR383" i="1"/>
  <c r="I384" i="1"/>
  <c r="J384" i="1"/>
  <c r="K384" i="1"/>
  <c r="L384" i="1"/>
  <c r="M384" i="1"/>
  <c r="N384" i="1"/>
  <c r="O384" i="1"/>
  <c r="P384" i="1"/>
  <c r="Q384" i="1"/>
  <c r="R384" i="1"/>
  <c r="S384" i="1"/>
  <c r="T384" i="1"/>
  <c r="U384" i="1"/>
  <c r="V384" i="1"/>
  <c r="W384" i="1"/>
  <c r="X384" i="1"/>
  <c r="Y384" i="1"/>
  <c r="Z384" i="1"/>
  <c r="AA384" i="1"/>
  <c r="AB384" i="1"/>
  <c r="AC384" i="1"/>
  <c r="AD384" i="1"/>
  <c r="AE384" i="1"/>
  <c r="AF384" i="1"/>
  <c r="AG384" i="1"/>
  <c r="AH384" i="1"/>
  <c r="AI384" i="1"/>
  <c r="AP384" i="1"/>
  <c r="AQ384" i="1"/>
  <c r="AR384" i="1"/>
  <c r="AS384" i="1"/>
  <c r="AU384" i="1"/>
  <c r="AV384" i="1"/>
  <c r="AX384" i="1"/>
  <c r="BK384" i="1"/>
  <c r="BL384" i="1"/>
  <c r="BM384" i="1"/>
  <c r="BP384" i="1"/>
  <c r="BR384" i="1"/>
  <c r="I385" i="1"/>
  <c r="J385" i="1"/>
  <c r="K385" i="1"/>
  <c r="L385" i="1"/>
  <c r="M385" i="1"/>
  <c r="N385" i="1"/>
  <c r="O385" i="1"/>
  <c r="P385" i="1"/>
  <c r="Q385" i="1"/>
  <c r="R385" i="1"/>
  <c r="S385" i="1"/>
  <c r="T385" i="1"/>
  <c r="U385" i="1"/>
  <c r="V385" i="1"/>
  <c r="W385" i="1"/>
  <c r="X385" i="1"/>
  <c r="Y385" i="1"/>
  <c r="Z385" i="1"/>
  <c r="AA385" i="1"/>
  <c r="AB385" i="1"/>
  <c r="AC385" i="1"/>
  <c r="AD385" i="1"/>
  <c r="AE385" i="1"/>
  <c r="AF385" i="1"/>
  <c r="AG385" i="1"/>
  <c r="AH385" i="1"/>
  <c r="AI385" i="1"/>
  <c r="AP385" i="1"/>
  <c r="AQ385" i="1"/>
  <c r="AR385" i="1"/>
  <c r="AS385" i="1"/>
  <c r="AU385" i="1"/>
  <c r="AV385" i="1"/>
  <c r="AX385" i="1"/>
  <c r="BK385" i="1"/>
  <c r="BL385" i="1"/>
  <c r="BM385" i="1"/>
  <c r="BP385" i="1"/>
  <c r="BR385" i="1"/>
  <c r="I386" i="1"/>
  <c r="J386" i="1"/>
  <c r="K386" i="1"/>
  <c r="L386" i="1"/>
  <c r="M386" i="1"/>
  <c r="N386" i="1"/>
  <c r="O386" i="1"/>
  <c r="P386" i="1"/>
  <c r="Q386" i="1"/>
  <c r="R386" i="1"/>
  <c r="S386" i="1"/>
  <c r="T386" i="1"/>
  <c r="U386" i="1"/>
  <c r="V386" i="1"/>
  <c r="W386" i="1"/>
  <c r="X386" i="1"/>
  <c r="Y386" i="1"/>
  <c r="Z386" i="1"/>
  <c r="AA386" i="1"/>
  <c r="AB386" i="1"/>
  <c r="AC386" i="1"/>
  <c r="AD386" i="1"/>
  <c r="AE386" i="1"/>
  <c r="AF386" i="1"/>
  <c r="AG386" i="1"/>
  <c r="AH386" i="1"/>
  <c r="AI386" i="1"/>
  <c r="AP386" i="1"/>
  <c r="AQ386" i="1"/>
  <c r="AR386" i="1"/>
  <c r="AS386" i="1"/>
  <c r="AU386" i="1"/>
  <c r="AV386" i="1"/>
  <c r="AX386" i="1"/>
  <c r="BK386" i="1"/>
  <c r="BL386" i="1"/>
  <c r="BM386" i="1"/>
  <c r="BP386" i="1"/>
  <c r="BR386" i="1"/>
  <c r="I387" i="1"/>
  <c r="J387" i="1"/>
  <c r="K387" i="1"/>
  <c r="L387" i="1"/>
  <c r="M387" i="1"/>
  <c r="N387" i="1"/>
  <c r="O387" i="1"/>
  <c r="P387" i="1"/>
  <c r="Q387" i="1"/>
  <c r="R387" i="1"/>
  <c r="S387" i="1"/>
  <c r="T387" i="1"/>
  <c r="U387" i="1"/>
  <c r="V387" i="1"/>
  <c r="W387" i="1"/>
  <c r="X387" i="1"/>
  <c r="Y387" i="1"/>
  <c r="Z387" i="1"/>
  <c r="AA387" i="1"/>
  <c r="AB387" i="1"/>
  <c r="AC387" i="1"/>
  <c r="AD387" i="1"/>
  <c r="AE387" i="1"/>
  <c r="AF387" i="1"/>
  <c r="AG387" i="1"/>
  <c r="AH387" i="1"/>
  <c r="AI387" i="1"/>
  <c r="AP387" i="1"/>
  <c r="AQ387" i="1"/>
  <c r="AR387" i="1"/>
  <c r="AS387" i="1"/>
  <c r="AU387" i="1"/>
  <c r="AV387" i="1"/>
  <c r="AX387" i="1"/>
  <c r="BK387" i="1"/>
  <c r="BL387" i="1"/>
  <c r="BM387" i="1"/>
  <c r="BP387" i="1"/>
  <c r="BR387" i="1"/>
  <c r="I388" i="1"/>
  <c r="J388" i="1"/>
  <c r="K388" i="1"/>
  <c r="L388" i="1"/>
  <c r="M388" i="1"/>
  <c r="N388" i="1"/>
  <c r="O388" i="1"/>
  <c r="P388" i="1"/>
  <c r="Q388" i="1"/>
  <c r="R388" i="1"/>
  <c r="S388" i="1"/>
  <c r="T388" i="1"/>
  <c r="U388" i="1"/>
  <c r="V388" i="1"/>
  <c r="W388" i="1"/>
  <c r="X388" i="1"/>
  <c r="Y388" i="1"/>
  <c r="Z388" i="1"/>
  <c r="AA388" i="1"/>
  <c r="AB388" i="1"/>
  <c r="AC388" i="1"/>
  <c r="AD388" i="1"/>
  <c r="AE388" i="1"/>
  <c r="AF388" i="1"/>
  <c r="AG388" i="1"/>
  <c r="AH388" i="1"/>
  <c r="AI388" i="1"/>
  <c r="AP388" i="1"/>
  <c r="AQ388" i="1"/>
  <c r="AR388" i="1"/>
  <c r="AS388" i="1"/>
  <c r="AU388" i="1"/>
  <c r="AV388" i="1"/>
  <c r="AX388" i="1"/>
  <c r="BK388" i="1"/>
  <c r="BL388" i="1"/>
  <c r="BM388" i="1"/>
  <c r="BP388" i="1"/>
  <c r="BR388" i="1"/>
  <c r="I389" i="1"/>
  <c r="J389" i="1"/>
  <c r="K389" i="1"/>
  <c r="L389" i="1"/>
  <c r="M389" i="1"/>
  <c r="N389" i="1"/>
  <c r="O389" i="1"/>
  <c r="P389" i="1"/>
  <c r="Q389" i="1"/>
  <c r="R389" i="1"/>
  <c r="S389" i="1"/>
  <c r="T389" i="1"/>
  <c r="U389" i="1"/>
  <c r="V389" i="1"/>
  <c r="W389" i="1"/>
  <c r="X389" i="1"/>
  <c r="Y389" i="1"/>
  <c r="Z389" i="1"/>
  <c r="AA389" i="1"/>
  <c r="AB389" i="1"/>
  <c r="AC389" i="1"/>
  <c r="AD389" i="1"/>
  <c r="AE389" i="1"/>
  <c r="AF389" i="1"/>
  <c r="AG389" i="1"/>
  <c r="AH389" i="1"/>
  <c r="AI389" i="1"/>
  <c r="AP389" i="1"/>
  <c r="AQ389" i="1"/>
  <c r="AR389" i="1"/>
  <c r="AS389" i="1"/>
  <c r="AU389" i="1"/>
  <c r="AV389" i="1"/>
  <c r="AX389" i="1"/>
  <c r="BK389" i="1"/>
  <c r="BL389" i="1"/>
  <c r="BM389" i="1"/>
  <c r="BP389" i="1"/>
  <c r="BR389" i="1"/>
  <c r="I390" i="1"/>
  <c r="J390" i="1"/>
  <c r="K390" i="1"/>
  <c r="L390" i="1"/>
  <c r="M390" i="1"/>
  <c r="N390" i="1"/>
  <c r="O390" i="1"/>
  <c r="P390" i="1"/>
  <c r="Q390" i="1"/>
  <c r="R390" i="1"/>
  <c r="S390" i="1"/>
  <c r="T390" i="1"/>
  <c r="U390" i="1"/>
  <c r="V390" i="1"/>
  <c r="W390" i="1"/>
  <c r="X390" i="1"/>
  <c r="Y390" i="1"/>
  <c r="Z390" i="1"/>
  <c r="AA390" i="1"/>
  <c r="AB390" i="1"/>
  <c r="AC390" i="1"/>
  <c r="AD390" i="1"/>
  <c r="AE390" i="1"/>
  <c r="AF390" i="1"/>
  <c r="AG390" i="1"/>
  <c r="AH390" i="1"/>
  <c r="AI390" i="1"/>
  <c r="AP390" i="1"/>
  <c r="AQ390" i="1"/>
  <c r="AR390" i="1"/>
  <c r="AS390" i="1"/>
  <c r="AU390" i="1"/>
  <c r="AV390" i="1"/>
  <c r="AX390" i="1"/>
  <c r="BK390" i="1"/>
  <c r="BL390" i="1"/>
  <c r="BM390" i="1"/>
  <c r="BP390" i="1"/>
  <c r="BR390" i="1"/>
  <c r="I377" i="1"/>
  <c r="J377" i="1"/>
  <c r="K377" i="1"/>
  <c r="L377" i="1"/>
  <c r="M377" i="1"/>
  <c r="N377" i="1"/>
  <c r="O377" i="1"/>
  <c r="P377" i="1"/>
  <c r="Q377" i="1"/>
  <c r="R377" i="1"/>
  <c r="S377" i="1"/>
  <c r="T377" i="1"/>
  <c r="U377" i="1"/>
  <c r="V377" i="1"/>
  <c r="W377" i="1"/>
  <c r="X377" i="1"/>
  <c r="Y377" i="1"/>
  <c r="Z377" i="1"/>
  <c r="AA377" i="1"/>
  <c r="AB377" i="1"/>
  <c r="AC377" i="1"/>
  <c r="AD377" i="1"/>
  <c r="AE377" i="1"/>
  <c r="AF377" i="1"/>
  <c r="AG377" i="1"/>
  <c r="AH377" i="1"/>
  <c r="AI377" i="1"/>
  <c r="AP377" i="1"/>
  <c r="AQ377" i="1"/>
  <c r="AR377" i="1"/>
  <c r="AS377" i="1"/>
  <c r="AU377" i="1"/>
  <c r="AV377" i="1"/>
  <c r="AX377" i="1"/>
  <c r="BK377" i="1"/>
  <c r="BL377" i="1"/>
  <c r="BM377" i="1"/>
  <c r="BP377" i="1"/>
  <c r="BR377" i="1"/>
  <c r="I378" i="1"/>
  <c r="J378" i="1"/>
  <c r="K378" i="1"/>
  <c r="L378" i="1"/>
  <c r="M378" i="1"/>
  <c r="N378" i="1"/>
  <c r="O378" i="1"/>
  <c r="P378" i="1"/>
  <c r="Q378" i="1"/>
  <c r="R378" i="1"/>
  <c r="S378" i="1"/>
  <c r="T378" i="1"/>
  <c r="U378" i="1"/>
  <c r="V378" i="1"/>
  <c r="W378" i="1"/>
  <c r="X378" i="1"/>
  <c r="Y378" i="1"/>
  <c r="Z378" i="1"/>
  <c r="AA378" i="1"/>
  <c r="AB378" i="1"/>
  <c r="AC378" i="1"/>
  <c r="AD378" i="1"/>
  <c r="AE378" i="1"/>
  <c r="AF378" i="1"/>
  <c r="AG378" i="1"/>
  <c r="AH378" i="1"/>
  <c r="AI378" i="1"/>
  <c r="AP378" i="1"/>
  <c r="AQ378" i="1"/>
  <c r="AR378" i="1"/>
  <c r="AS378" i="1"/>
  <c r="AU378" i="1"/>
  <c r="AV378" i="1"/>
  <c r="AX378" i="1"/>
  <c r="BK378" i="1"/>
  <c r="BL378" i="1"/>
  <c r="BM378" i="1"/>
  <c r="BP378" i="1"/>
  <c r="BR378" i="1"/>
  <c r="I379" i="1"/>
  <c r="J379" i="1"/>
  <c r="K379" i="1"/>
  <c r="L379" i="1"/>
  <c r="M379" i="1"/>
  <c r="N379" i="1"/>
  <c r="O379" i="1"/>
  <c r="P379" i="1"/>
  <c r="Q379" i="1"/>
  <c r="R379" i="1"/>
  <c r="S379" i="1"/>
  <c r="T379" i="1"/>
  <c r="U379" i="1"/>
  <c r="V379" i="1"/>
  <c r="W379" i="1"/>
  <c r="X379" i="1"/>
  <c r="Y379" i="1"/>
  <c r="Z379" i="1"/>
  <c r="AA379" i="1"/>
  <c r="AB379" i="1"/>
  <c r="AC379" i="1"/>
  <c r="AD379" i="1"/>
  <c r="AE379" i="1"/>
  <c r="AF379" i="1"/>
  <c r="AG379" i="1"/>
  <c r="AH379" i="1"/>
  <c r="AI379" i="1"/>
  <c r="AP379" i="1"/>
  <c r="AQ379" i="1"/>
  <c r="AR379" i="1"/>
  <c r="AS379" i="1"/>
  <c r="AU379" i="1"/>
  <c r="AV379" i="1"/>
  <c r="AX379" i="1"/>
  <c r="BK379" i="1"/>
  <c r="BL379" i="1"/>
  <c r="BM379" i="1"/>
  <c r="BP379" i="1"/>
  <c r="BR379" i="1"/>
  <c r="I380" i="1"/>
  <c r="J380" i="1"/>
  <c r="K380" i="1"/>
  <c r="L380" i="1"/>
  <c r="M380" i="1"/>
  <c r="N380" i="1"/>
  <c r="O380" i="1"/>
  <c r="P380" i="1"/>
  <c r="Q380" i="1"/>
  <c r="R380" i="1"/>
  <c r="S380" i="1"/>
  <c r="T380" i="1"/>
  <c r="U380" i="1"/>
  <c r="V380" i="1"/>
  <c r="W380" i="1"/>
  <c r="X380" i="1"/>
  <c r="Y380" i="1"/>
  <c r="Z380" i="1"/>
  <c r="AA380" i="1"/>
  <c r="AB380" i="1"/>
  <c r="AC380" i="1"/>
  <c r="AD380" i="1"/>
  <c r="AE380" i="1"/>
  <c r="AF380" i="1"/>
  <c r="AG380" i="1"/>
  <c r="AH380" i="1"/>
  <c r="AI380" i="1"/>
  <c r="AP380" i="1"/>
  <c r="AQ380" i="1"/>
  <c r="AR380" i="1"/>
  <c r="AS380" i="1"/>
  <c r="AU380" i="1"/>
  <c r="AV380" i="1"/>
  <c r="AX380" i="1"/>
  <c r="BK380" i="1"/>
  <c r="BL380" i="1"/>
  <c r="BM380" i="1"/>
  <c r="BP380" i="1"/>
  <c r="BR380" i="1"/>
  <c r="I220" i="1"/>
  <c r="J220" i="1"/>
  <c r="K220" i="1"/>
  <c r="L220" i="1"/>
  <c r="M220" i="1"/>
  <c r="N220" i="1"/>
  <c r="O220" i="1"/>
  <c r="P220" i="1"/>
  <c r="Q220" i="1"/>
  <c r="R220" i="1"/>
  <c r="S220" i="1"/>
  <c r="T220" i="1"/>
  <c r="U220" i="1"/>
  <c r="V220" i="1"/>
  <c r="W220" i="1"/>
  <c r="X220" i="1"/>
  <c r="Y220" i="1"/>
  <c r="Z220" i="1"/>
  <c r="AA220" i="1"/>
  <c r="AB220" i="1"/>
  <c r="AC220" i="1"/>
  <c r="AD220" i="1"/>
  <c r="AE220" i="1"/>
  <c r="AF220" i="1"/>
  <c r="AG220" i="1"/>
  <c r="AH220" i="1"/>
  <c r="AI220" i="1"/>
  <c r="AP220" i="1"/>
  <c r="AQ220" i="1"/>
  <c r="AR220" i="1"/>
  <c r="AS220" i="1"/>
  <c r="AU220" i="1"/>
  <c r="AV220" i="1"/>
  <c r="AX220" i="1"/>
  <c r="BK220" i="1"/>
  <c r="BL220" i="1"/>
  <c r="BM220" i="1"/>
  <c r="BP220" i="1"/>
  <c r="BR220" i="1"/>
  <c r="I364" i="1"/>
  <c r="J364" i="1"/>
  <c r="K364" i="1"/>
  <c r="L364" i="1"/>
  <c r="M364" i="1"/>
  <c r="N364" i="1"/>
  <c r="O364" i="1"/>
  <c r="P364" i="1"/>
  <c r="Q364" i="1"/>
  <c r="R364" i="1"/>
  <c r="S364" i="1"/>
  <c r="T364" i="1"/>
  <c r="U364" i="1"/>
  <c r="V364" i="1"/>
  <c r="W364" i="1"/>
  <c r="X364" i="1"/>
  <c r="Y364" i="1"/>
  <c r="Z364" i="1"/>
  <c r="AA364" i="1"/>
  <c r="AB364" i="1"/>
  <c r="AC364" i="1"/>
  <c r="AD364" i="1"/>
  <c r="AE364" i="1"/>
  <c r="AF364" i="1"/>
  <c r="AG364" i="1"/>
  <c r="AH364" i="1"/>
  <c r="AI364" i="1"/>
  <c r="AP364" i="1"/>
  <c r="AQ364" i="1"/>
  <c r="AR364" i="1"/>
  <c r="AS364" i="1"/>
  <c r="AU364" i="1"/>
  <c r="AV364" i="1"/>
  <c r="AX364" i="1"/>
  <c r="BK364" i="1"/>
  <c r="BL364" i="1"/>
  <c r="BM364" i="1"/>
  <c r="BP364" i="1"/>
  <c r="BR364" i="1"/>
  <c r="I365" i="1"/>
  <c r="J365" i="1"/>
  <c r="K365" i="1"/>
  <c r="L365" i="1"/>
  <c r="M365" i="1"/>
  <c r="N365" i="1"/>
  <c r="O365" i="1"/>
  <c r="P365" i="1"/>
  <c r="Q365" i="1"/>
  <c r="R365" i="1"/>
  <c r="S365" i="1"/>
  <c r="T365" i="1"/>
  <c r="U365" i="1"/>
  <c r="V365" i="1"/>
  <c r="W365" i="1"/>
  <c r="X365" i="1"/>
  <c r="Y365" i="1"/>
  <c r="Z365" i="1"/>
  <c r="AA365" i="1"/>
  <c r="AB365" i="1"/>
  <c r="AC365" i="1"/>
  <c r="AD365" i="1"/>
  <c r="AE365" i="1"/>
  <c r="AF365" i="1"/>
  <c r="AG365" i="1"/>
  <c r="AH365" i="1"/>
  <c r="AI365" i="1"/>
  <c r="AP365" i="1"/>
  <c r="AQ365" i="1"/>
  <c r="AR365" i="1"/>
  <c r="AS365" i="1"/>
  <c r="AU365" i="1"/>
  <c r="AV365" i="1"/>
  <c r="AX365" i="1"/>
  <c r="BK365" i="1"/>
  <c r="BL365" i="1"/>
  <c r="BM365" i="1"/>
  <c r="BP365" i="1"/>
  <c r="BR365" i="1"/>
  <c r="I366" i="1"/>
  <c r="J366" i="1"/>
  <c r="K366" i="1"/>
  <c r="L366" i="1"/>
  <c r="M366" i="1"/>
  <c r="N366" i="1"/>
  <c r="O366" i="1"/>
  <c r="P366" i="1"/>
  <c r="Q366" i="1"/>
  <c r="R366" i="1"/>
  <c r="S366" i="1"/>
  <c r="T366" i="1"/>
  <c r="U366" i="1"/>
  <c r="V366" i="1"/>
  <c r="W366" i="1"/>
  <c r="X366" i="1"/>
  <c r="Y366" i="1"/>
  <c r="Z366" i="1"/>
  <c r="AA366" i="1"/>
  <c r="AB366" i="1"/>
  <c r="AC366" i="1"/>
  <c r="AD366" i="1"/>
  <c r="AE366" i="1"/>
  <c r="AF366" i="1"/>
  <c r="AG366" i="1"/>
  <c r="AH366" i="1"/>
  <c r="AI366" i="1"/>
  <c r="AP366" i="1"/>
  <c r="AQ366" i="1"/>
  <c r="AR366" i="1"/>
  <c r="AS366" i="1"/>
  <c r="AU366" i="1"/>
  <c r="AV366" i="1"/>
  <c r="AX366" i="1"/>
  <c r="BK366" i="1"/>
  <c r="BL366" i="1"/>
  <c r="BM366" i="1"/>
  <c r="BP366" i="1"/>
  <c r="BR366" i="1"/>
  <c r="I219" i="1"/>
  <c r="J219" i="1"/>
  <c r="K219" i="1"/>
  <c r="L219" i="1"/>
  <c r="M219" i="1"/>
  <c r="N219" i="1"/>
  <c r="O219" i="1"/>
  <c r="P219" i="1"/>
  <c r="Q219" i="1"/>
  <c r="R219" i="1"/>
  <c r="S219" i="1"/>
  <c r="T219" i="1"/>
  <c r="U219" i="1"/>
  <c r="V219" i="1"/>
  <c r="W219" i="1"/>
  <c r="X219" i="1"/>
  <c r="Y219" i="1"/>
  <c r="Z219" i="1"/>
  <c r="AA219" i="1"/>
  <c r="AB219" i="1"/>
  <c r="AC219" i="1"/>
  <c r="AD219" i="1"/>
  <c r="AE219" i="1"/>
  <c r="AF219" i="1"/>
  <c r="AG219" i="1"/>
  <c r="AH219" i="1"/>
  <c r="AI219" i="1"/>
  <c r="AP219" i="1"/>
  <c r="AQ219" i="1"/>
  <c r="AR219" i="1"/>
  <c r="AS219" i="1"/>
  <c r="AU219" i="1"/>
  <c r="AV219" i="1"/>
  <c r="AX219" i="1"/>
  <c r="BK219" i="1"/>
  <c r="BL219" i="1"/>
  <c r="BM219" i="1"/>
  <c r="BP219" i="1"/>
  <c r="BR219" i="1"/>
  <c r="I367" i="1"/>
  <c r="J367" i="1"/>
  <c r="K367" i="1"/>
  <c r="L367" i="1"/>
  <c r="M367" i="1"/>
  <c r="N367" i="1"/>
  <c r="O367" i="1"/>
  <c r="P367" i="1"/>
  <c r="Q367" i="1"/>
  <c r="R367" i="1"/>
  <c r="S367" i="1"/>
  <c r="T367" i="1"/>
  <c r="U367" i="1"/>
  <c r="V367" i="1"/>
  <c r="W367" i="1"/>
  <c r="X367" i="1"/>
  <c r="Y367" i="1"/>
  <c r="Z367" i="1"/>
  <c r="AA367" i="1"/>
  <c r="AB367" i="1"/>
  <c r="AC367" i="1"/>
  <c r="AD367" i="1"/>
  <c r="AE367" i="1"/>
  <c r="AF367" i="1"/>
  <c r="AG367" i="1"/>
  <c r="AH367" i="1"/>
  <c r="AI367" i="1"/>
  <c r="AP367" i="1"/>
  <c r="AQ367" i="1"/>
  <c r="AR367" i="1"/>
  <c r="AS367" i="1"/>
  <c r="AU367" i="1"/>
  <c r="AV367" i="1"/>
  <c r="AX367" i="1"/>
  <c r="BK367" i="1"/>
  <c r="BL367" i="1"/>
  <c r="BM367" i="1"/>
  <c r="BP367" i="1"/>
  <c r="BR367" i="1"/>
  <c r="I368" i="1"/>
  <c r="J368" i="1"/>
  <c r="K368" i="1"/>
  <c r="L368" i="1"/>
  <c r="M368" i="1"/>
  <c r="N368" i="1"/>
  <c r="O368" i="1"/>
  <c r="P368" i="1"/>
  <c r="Q368" i="1"/>
  <c r="R368" i="1"/>
  <c r="S368" i="1"/>
  <c r="T368" i="1"/>
  <c r="U368" i="1"/>
  <c r="V368" i="1"/>
  <c r="W368" i="1"/>
  <c r="X368" i="1"/>
  <c r="Y368" i="1"/>
  <c r="Z368" i="1"/>
  <c r="AA368" i="1"/>
  <c r="AB368" i="1"/>
  <c r="AC368" i="1"/>
  <c r="AD368" i="1"/>
  <c r="AE368" i="1"/>
  <c r="AF368" i="1"/>
  <c r="AG368" i="1"/>
  <c r="AH368" i="1"/>
  <c r="AI368" i="1"/>
  <c r="AP368" i="1"/>
  <c r="AQ368" i="1"/>
  <c r="AR368" i="1"/>
  <c r="AS368" i="1"/>
  <c r="AU368" i="1"/>
  <c r="AV368" i="1"/>
  <c r="AX368" i="1"/>
  <c r="BK368" i="1"/>
  <c r="BL368" i="1"/>
  <c r="BM368" i="1"/>
  <c r="BP368" i="1"/>
  <c r="BR368" i="1"/>
  <c r="I369" i="1"/>
  <c r="J369" i="1"/>
  <c r="K369" i="1"/>
  <c r="L369" i="1"/>
  <c r="M369" i="1"/>
  <c r="N369" i="1"/>
  <c r="O369" i="1"/>
  <c r="P369" i="1"/>
  <c r="Q369" i="1"/>
  <c r="R369" i="1"/>
  <c r="S369" i="1"/>
  <c r="T369" i="1"/>
  <c r="U369" i="1"/>
  <c r="V369" i="1"/>
  <c r="W369" i="1"/>
  <c r="X369" i="1"/>
  <c r="Y369" i="1"/>
  <c r="Z369" i="1"/>
  <c r="AA369" i="1"/>
  <c r="AB369" i="1"/>
  <c r="AC369" i="1"/>
  <c r="AD369" i="1"/>
  <c r="AE369" i="1"/>
  <c r="AF369" i="1"/>
  <c r="AG369" i="1"/>
  <c r="AH369" i="1"/>
  <c r="AI369" i="1"/>
  <c r="AP369" i="1"/>
  <c r="AQ369" i="1"/>
  <c r="AR369" i="1"/>
  <c r="AS369" i="1"/>
  <c r="AU369" i="1"/>
  <c r="AV369" i="1"/>
  <c r="AX369" i="1"/>
  <c r="BK369" i="1"/>
  <c r="BL369" i="1"/>
  <c r="BM369" i="1"/>
  <c r="BP369" i="1"/>
  <c r="BR369" i="1"/>
  <c r="I370" i="1"/>
  <c r="J370" i="1"/>
  <c r="K370" i="1"/>
  <c r="L370" i="1"/>
  <c r="M370" i="1"/>
  <c r="N370" i="1"/>
  <c r="O370" i="1"/>
  <c r="P370" i="1"/>
  <c r="Q370" i="1"/>
  <c r="R370" i="1"/>
  <c r="S370" i="1"/>
  <c r="T370" i="1"/>
  <c r="U370" i="1"/>
  <c r="V370" i="1"/>
  <c r="W370" i="1"/>
  <c r="X370" i="1"/>
  <c r="Y370" i="1"/>
  <c r="Z370" i="1"/>
  <c r="AA370" i="1"/>
  <c r="AB370" i="1"/>
  <c r="AC370" i="1"/>
  <c r="AD370" i="1"/>
  <c r="AE370" i="1"/>
  <c r="AF370" i="1"/>
  <c r="AG370" i="1"/>
  <c r="AH370" i="1"/>
  <c r="AI370" i="1"/>
  <c r="AP370" i="1"/>
  <c r="AQ370" i="1"/>
  <c r="AR370" i="1"/>
  <c r="AS370" i="1"/>
  <c r="AU370" i="1"/>
  <c r="AV370" i="1"/>
  <c r="AX370" i="1"/>
  <c r="BK370" i="1"/>
  <c r="BL370" i="1"/>
  <c r="BM370" i="1"/>
  <c r="BP370" i="1"/>
  <c r="BR370" i="1"/>
  <c r="I371" i="1"/>
  <c r="J371" i="1"/>
  <c r="K371" i="1"/>
  <c r="L371" i="1"/>
  <c r="M371" i="1"/>
  <c r="N371" i="1"/>
  <c r="O371" i="1"/>
  <c r="P371" i="1"/>
  <c r="Q371" i="1"/>
  <c r="R371" i="1"/>
  <c r="S371" i="1"/>
  <c r="T371" i="1"/>
  <c r="U371" i="1"/>
  <c r="V371" i="1"/>
  <c r="W371" i="1"/>
  <c r="X371" i="1"/>
  <c r="Y371" i="1"/>
  <c r="Z371" i="1"/>
  <c r="AA371" i="1"/>
  <c r="AB371" i="1"/>
  <c r="AC371" i="1"/>
  <c r="AD371" i="1"/>
  <c r="AE371" i="1"/>
  <c r="AF371" i="1"/>
  <c r="AG371" i="1"/>
  <c r="AH371" i="1"/>
  <c r="AI371" i="1"/>
  <c r="AP371" i="1"/>
  <c r="AQ371" i="1"/>
  <c r="AR371" i="1"/>
  <c r="AS371" i="1"/>
  <c r="AU371" i="1"/>
  <c r="AV371" i="1"/>
  <c r="AX371" i="1"/>
  <c r="BK371" i="1"/>
  <c r="BL371" i="1"/>
  <c r="BM371" i="1"/>
  <c r="BP371" i="1"/>
  <c r="BR371" i="1"/>
  <c r="I372" i="1"/>
  <c r="J372" i="1"/>
  <c r="K372" i="1"/>
  <c r="L372" i="1"/>
  <c r="M372" i="1"/>
  <c r="N372" i="1"/>
  <c r="O372" i="1"/>
  <c r="P372" i="1"/>
  <c r="Q372" i="1"/>
  <c r="R372" i="1"/>
  <c r="S372" i="1"/>
  <c r="T372" i="1"/>
  <c r="U372" i="1"/>
  <c r="V372" i="1"/>
  <c r="W372" i="1"/>
  <c r="X372" i="1"/>
  <c r="Y372" i="1"/>
  <c r="Z372" i="1"/>
  <c r="AA372" i="1"/>
  <c r="AB372" i="1"/>
  <c r="AC372" i="1"/>
  <c r="AD372" i="1"/>
  <c r="AE372" i="1"/>
  <c r="AF372" i="1"/>
  <c r="AG372" i="1"/>
  <c r="AH372" i="1"/>
  <c r="AI372" i="1"/>
  <c r="AP372" i="1"/>
  <c r="AQ372" i="1"/>
  <c r="AR372" i="1"/>
  <c r="AS372" i="1"/>
  <c r="AU372" i="1"/>
  <c r="AV372" i="1"/>
  <c r="AX372" i="1"/>
  <c r="BK372" i="1"/>
  <c r="BL372" i="1"/>
  <c r="BM372" i="1"/>
  <c r="BP372" i="1"/>
  <c r="BR372" i="1"/>
  <c r="I373" i="1"/>
  <c r="J373" i="1"/>
  <c r="K373" i="1"/>
  <c r="L373" i="1"/>
  <c r="M373" i="1"/>
  <c r="N373" i="1"/>
  <c r="O373" i="1"/>
  <c r="P373" i="1"/>
  <c r="Q373" i="1"/>
  <c r="R373" i="1"/>
  <c r="S373" i="1"/>
  <c r="T373" i="1"/>
  <c r="U373" i="1"/>
  <c r="V373" i="1"/>
  <c r="W373" i="1"/>
  <c r="X373" i="1"/>
  <c r="Y373" i="1"/>
  <c r="Z373" i="1"/>
  <c r="AA373" i="1"/>
  <c r="AB373" i="1"/>
  <c r="AC373" i="1"/>
  <c r="AD373" i="1"/>
  <c r="AE373" i="1"/>
  <c r="AF373" i="1"/>
  <c r="AG373" i="1"/>
  <c r="AH373" i="1"/>
  <c r="AI373" i="1"/>
  <c r="AP373" i="1"/>
  <c r="AQ373" i="1"/>
  <c r="AR373" i="1"/>
  <c r="AS373" i="1"/>
  <c r="AU373" i="1"/>
  <c r="AV373" i="1"/>
  <c r="AX373" i="1"/>
  <c r="BK373" i="1"/>
  <c r="BL373" i="1"/>
  <c r="BM373" i="1"/>
  <c r="BP373" i="1"/>
  <c r="BR373" i="1"/>
  <c r="I374" i="1"/>
  <c r="J374" i="1"/>
  <c r="K374" i="1"/>
  <c r="L374" i="1"/>
  <c r="M374" i="1"/>
  <c r="N374" i="1"/>
  <c r="O374" i="1"/>
  <c r="P374" i="1"/>
  <c r="Q374" i="1"/>
  <c r="R374" i="1"/>
  <c r="S374" i="1"/>
  <c r="T374" i="1"/>
  <c r="U374" i="1"/>
  <c r="V374" i="1"/>
  <c r="W374" i="1"/>
  <c r="X374" i="1"/>
  <c r="Y374" i="1"/>
  <c r="Z374" i="1"/>
  <c r="AA374" i="1"/>
  <c r="AB374" i="1"/>
  <c r="AC374" i="1"/>
  <c r="AD374" i="1"/>
  <c r="AE374" i="1"/>
  <c r="AF374" i="1"/>
  <c r="AG374" i="1"/>
  <c r="AH374" i="1"/>
  <c r="AI374" i="1"/>
  <c r="AP374" i="1"/>
  <c r="AQ374" i="1"/>
  <c r="AR374" i="1"/>
  <c r="AS374" i="1"/>
  <c r="AU374" i="1"/>
  <c r="AV374" i="1"/>
  <c r="AX374" i="1"/>
  <c r="BK374" i="1"/>
  <c r="BL374" i="1"/>
  <c r="BM374" i="1"/>
  <c r="BP374" i="1"/>
  <c r="BR374" i="1"/>
  <c r="I375" i="1"/>
  <c r="J375" i="1"/>
  <c r="K375" i="1"/>
  <c r="L375" i="1"/>
  <c r="M375" i="1"/>
  <c r="N375" i="1"/>
  <c r="O375" i="1"/>
  <c r="P375" i="1"/>
  <c r="Q375" i="1"/>
  <c r="R375" i="1"/>
  <c r="S375" i="1"/>
  <c r="T375" i="1"/>
  <c r="U375" i="1"/>
  <c r="V375" i="1"/>
  <c r="W375" i="1"/>
  <c r="X375" i="1"/>
  <c r="Y375" i="1"/>
  <c r="Z375" i="1"/>
  <c r="AA375" i="1"/>
  <c r="AB375" i="1"/>
  <c r="AC375" i="1"/>
  <c r="AD375" i="1"/>
  <c r="AE375" i="1"/>
  <c r="AF375" i="1"/>
  <c r="AG375" i="1"/>
  <c r="AH375" i="1"/>
  <c r="AI375" i="1"/>
  <c r="AP375" i="1"/>
  <c r="AQ375" i="1"/>
  <c r="AR375" i="1"/>
  <c r="AS375" i="1"/>
  <c r="AU375" i="1"/>
  <c r="AV375" i="1"/>
  <c r="AX375" i="1"/>
  <c r="BK375" i="1"/>
  <c r="BL375" i="1"/>
  <c r="BM375" i="1"/>
  <c r="BP375" i="1"/>
  <c r="BR375" i="1"/>
  <c r="I376" i="1"/>
  <c r="J376" i="1"/>
  <c r="K376" i="1"/>
  <c r="L376" i="1"/>
  <c r="M376" i="1"/>
  <c r="N376" i="1"/>
  <c r="O376" i="1"/>
  <c r="P376" i="1"/>
  <c r="Q376" i="1"/>
  <c r="R376" i="1"/>
  <c r="S376" i="1"/>
  <c r="T376" i="1"/>
  <c r="U376" i="1"/>
  <c r="V376" i="1"/>
  <c r="W376" i="1"/>
  <c r="X376" i="1"/>
  <c r="Y376" i="1"/>
  <c r="Z376" i="1"/>
  <c r="AA376" i="1"/>
  <c r="AB376" i="1"/>
  <c r="AC376" i="1"/>
  <c r="AD376" i="1"/>
  <c r="AE376" i="1"/>
  <c r="AF376" i="1"/>
  <c r="AG376" i="1"/>
  <c r="AH376" i="1"/>
  <c r="AI376" i="1"/>
  <c r="AP376" i="1"/>
  <c r="AQ376" i="1"/>
  <c r="AR376" i="1"/>
  <c r="AS376" i="1"/>
  <c r="AU376" i="1"/>
  <c r="AV376" i="1"/>
  <c r="AX376" i="1"/>
  <c r="BK376" i="1"/>
  <c r="BL376" i="1"/>
  <c r="BM376" i="1"/>
  <c r="BP376" i="1"/>
  <c r="BR376" i="1"/>
  <c r="I362" i="1"/>
  <c r="J362" i="1"/>
  <c r="K362" i="1"/>
  <c r="L362" i="1"/>
  <c r="M362" i="1"/>
  <c r="N362" i="1"/>
  <c r="O362" i="1"/>
  <c r="P362" i="1"/>
  <c r="Q362" i="1"/>
  <c r="R362" i="1"/>
  <c r="S362" i="1"/>
  <c r="T362" i="1"/>
  <c r="U362" i="1"/>
  <c r="V362" i="1"/>
  <c r="W362" i="1"/>
  <c r="X362" i="1"/>
  <c r="Y362" i="1"/>
  <c r="Z362" i="1"/>
  <c r="AA362" i="1"/>
  <c r="AB362" i="1"/>
  <c r="AC362" i="1"/>
  <c r="AD362" i="1"/>
  <c r="AE362" i="1"/>
  <c r="AF362" i="1"/>
  <c r="AG362" i="1"/>
  <c r="AH362" i="1"/>
  <c r="AI362" i="1"/>
  <c r="AP362" i="1"/>
  <c r="AQ362" i="1"/>
  <c r="AR362" i="1"/>
  <c r="AS362" i="1"/>
  <c r="AU362" i="1"/>
  <c r="AV362" i="1"/>
  <c r="AX362" i="1"/>
  <c r="BK362" i="1"/>
  <c r="BL362" i="1"/>
  <c r="BM362" i="1"/>
  <c r="BP362" i="1"/>
  <c r="BR362" i="1"/>
  <c r="I363" i="1"/>
  <c r="J363" i="1"/>
  <c r="K363" i="1"/>
  <c r="L363" i="1"/>
  <c r="M363" i="1"/>
  <c r="N363" i="1"/>
  <c r="O363" i="1"/>
  <c r="P363" i="1"/>
  <c r="Q363" i="1"/>
  <c r="R363" i="1"/>
  <c r="S363" i="1"/>
  <c r="T363" i="1"/>
  <c r="U363" i="1"/>
  <c r="V363" i="1"/>
  <c r="W363" i="1"/>
  <c r="X363" i="1"/>
  <c r="Y363" i="1"/>
  <c r="Z363" i="1"/>
  <c r="AA363" i="1"/>
  <c r="AB363" i="1"/>
  <c r="AC363" i="1"/>
  <c r="AD363" i="1"/>
  <c r="AE363" i="1"/>
  <c r="AF363" i="1"/>
  <c r="AG363" i="1"/>
  <c r="AH363" i="1"/>
  <c r="AI363" i="1"/>
  <c r="AP363" i="1"/>
  <c r="AQ363" i="1"/>
  <c r="AR363" i="1"/>
  <c r="AS363" i="1"/>
  <c r="AU363" i="1"/>
  <c r="AV363" i="1"/>
  <c r="AX363" i="1"/>
  <c r="BK363" i="1"/>
  <c r="BL363" i="1"/>
  <c r="BM363" i="1"/>
  <c r="BP363" i="1"/>
  <c r="BR363" i="1"/>
  <c r="I353" i="1"/>
  <c r="J353" i="1"/>
  <c r="K353" i="1"/>
  <c r="L353" i="1"/>
  <c r="M353" i="1"/>
  <c r="N353" i="1"/>
  <c r="O353" i="1"/>
  <c r="P353" i="1"/>
  <c r="Q353" i="1"/>
  <c r="R353" i="1"/>
  <c r="S353" i="1"/>
  <c r="T353" i="1"/>
  <c r="U353" i="1"/>
  <c r="V353" i="1"/>
  <c r="W353" i="1"/>
  <c r="X353" i="1"/>
  <c r="Y353" i="1"/>
  <c r="Z353" i="1"/>
  <c r="AA353" i="1"/>
  <c r="AB353" i="1"/>
  <c r="AC353" i="1"/>
  <c r="AD353" i="1"/>
  <c r="AE353" i="1"/>
  <c r="AF353" i="1"/>
  <c r="AG353" i="1"/>
  <c r="AH353" i="1"/>
  <c r="AI353" i="1"/>
  <c r="AP353" i="1"/>
  <c r="AQ353" i="1"/>
  <c r="AR353" i="1"/>
  <c r="AS353" i="1"/>
  <c r="AU353" i="1"/>
  <c r="AV353" i="1"/>
  <c r="AX353" i="1"/>
  <c r="BK353" i="1"/>
  <c r="BL353" i="1"/>
  <c r="BM353" i="1"/>
  <c r="BP353" i="1"/>
  <c r="BR353" i="1"/>
  <c r="I354" i="1"/>
  <c r="J354" i="1"/>
  <c r="K354" i="1"/>
  <c r="L354" i="1"/>
  <c r="M354" i="1"/>
  <c r="N354" i="1"/>
  <c r="O354" i="1"/>
  <c r="P354" i="1"/>
  <c r="Q354" i="1"/>
  <c r="R354" i="1"/>
  <c r="S354" i="1"/>
  <c r="T354" i="1"/>
  <c r="U354" i="1"/>
  <c r="V354" i="1"/>
  <c r="W354" i="1"/>
  <c r="X354" i="1"/>
  <c r="Y354" i="1"/>
  <c r="Z354" i="1"/>
  <c r="AA354" i="1"/>
  <c r="AB354" i="1"/>
  <c r="AC354" i="1"/>
  <c r="AD354" i="1"/>
  <c r="AE354" i="1"/>
  <c r="AF354" i="1"/>
  <c r="AG354" i="1"/>
  <c r="AH354" i="1"/>
  <c r="AI354" i="1"/>
  <c r="AP354" i="1"/>
  <c r="AQ354" i="1"/>
  <c r="AR354" i="1"/>
  <c r="AS354" i="1"/>
  <c r="AU354" i="1"/>
  <c r="AV354" i="1"/>
  <c r="AX354" i="1"/>
  <c r="BK354" i="1"/>
  <c r="BL354" i="1"/>
  <c r="BM354" i="1"/>
  <c r="BP354" i="1"/>
  <c r="BR354" i="1"/>
  <c r="I355" i="1"/>
  <c r="J355" i="1"/>
  <c r="K355" i="1"/>
  <c r="L355" i="1"/>
  <c r="M355" i="1"/>
  <c r="N355" i="1"/>
  <c r="O355" i="1"/>
  <c r="P355" i="1"/>
  <c r="Q355" i="1"/>
  <c r="R355" i="1"/>
  <c r="S355" i="1"/>
  <c r="T355" i="1"/>
  <c r="U355" i="1"/>
  <c r="V355" i="1"/>
  <c r="W355" i="1"/>
  <c r="X355" i="1"/>
  <c r="Y355" i="1"/>
  <c r="Z355" i="1"/>
  <c r="AA355" i="1"/>
  <c r="AB355" i="1"/>
  <c r="AC355" i="1"/>
  <c r="AD355" i="1"/>
  <c r="AE355" i="1"/>
  <c r="AF355" i="1"/>
  <c r="AG355" i="1"/>
  <c r="AH355" i="1"/>
  <c r="AI355" i="1"/>
  <c r="AP355" i="1"/>
  <c r="AQ355" i="1"/>
  <c r="AR355" i="1"/>
  <c r="AS355" i="1"/>
  <c r="AU355" i="1"/>
  <c r="AV355" i="1"/>
  <c r="AX355" i="1"/>
  <c r="BK355" i="1"/>
  <c r="BL355" i="1"/>
  <c r="BM355" i="1"/>
  <c r="BP355" i="1"/>
  <c r="BR355" i="1"/>
  <c r="I356" i="1"/>
  <c r="J356" i="1"/>
  <c r="K356" i="1"/>
  <c r="L356" i="1"/>
  <c r="M356" i="1"/>
  <c r="N356" i="1"/>
  <c r="O356" i="1"/>
  <c r="P356" i="1"/>
  <c r="Q356" i="1"/>
  <c r="R356" i="1"/>
  <c r="S356" i="1"/>
  <c r="T356" i="1"/>
  <c r="U356" i="1"/>
  <c r="V356" i="1"/>
  <c r="W356" i="1"/>
  <c r="X356" i="1"/>
  <c r="Y356" i="1"/>
  <c r="Z356" i="1"/>
  <c r="AA356" i="1"/>
  <c r="AB356" i="1"/>
  <c r="AC356" i="1"/>
  <c r="AD356" i="1"/>
  <c r="AE356" i="1"/>
  <c r="AF356" i="1"/>
  <c r="AG356" i="1"/>
  <c r="AH356" i="1"/>
  <c r="AI356" i="1"/>
  <c r="AP356" i="1"/>
  <c r="AQ356" i="1"/>
  <c r="AR356" i="1"/>
  <c r="AS356" i="1"/>
  <c r="AU356" i="1"/>
  <c r="AV356" i="1"/>
  <c r="AX356" i="1"/>
  <c r="BK356" i="1"/>
  <c r="BL356" i="1"/>
  <c r="BM356" i="1"/>
  <c r="BP356" i="1"/>
  <c r="BR356" i="1"/>
  <c r="I357" i="1"/>
  <c r="J357" i="1"/>
  <c r="K357" i="1"/>
  <c r="L357" i="1"/>
  <c r="M357" i="1"/>
  <c r="N357" i="1"/>
  <c r="O357" i="1"/>
  <c r="P357" i="1"/>
  <c r="Q357" i="1"/>
  <c r="R357" i="1"/>
  <c r="S357" i="1"/>
  <c r="T357" i="1"/>
  <c r="U357" i="1"/>
  <c r="V357" i="1"/>
  <c r="W357" i="1"/>
  <c r="X357" i="1"/>
  <c r="Y357" i="1"/>
  <c r="Z357" i="1"/>
  <c r="AA357" i="1"/>
  <c r="AB357" i="1"/>
  <c r="AC357" i="1"/>
  <c r="AD357" i="1"/>
  <c r="AE357" i="1"/>
  <c r="AF357" i="1"/>
  <c r="AG357" i="1"/>
  <c r="AH357" i="1"/>
  <c r="AI357" i="1"/>
  <c r="AP357" i="1"/>
  <c r="AQ357" i="1"/>
  <c r="AR357" i="1"/>
  <c r="AS357" i="1"/>
  <c r="AU357" i="1"/>
  <c r="AV357" i="1"/>
  <c r="AX357" i="1"/>
  <c r="BK357" i="1"/>
  <c r="BL357" i="1"/>
  <c r="BM357" i="1"/>
  <c r="BP357" i="1"/>
  <c r="BR357" i="1"/>
  <c r="I358" i="1"/>
  <c r="J358" i="1"/>
  <c r="K358" i="1"/>
  <c r="L358" i="1"/>
  <c r="M358" i="1"/>
  <c r="N358" i="1"/>
  <c r="O358" i="1"/>
  <c r="P358" i="1"/>
  <c r="Q358" i="1"/>
  <c r="R358" i="1"/>
  <c r="S358" i="1"/>
  <c r="T358" i="1"/>
  <c r="U358" i="1"/>
  <c r="V358" i="1"/>
  <c r="W358" i="1"/>
  <c r="X358" i="1"/>
  <c r="Y358" i="1"/>
  <c r="Z358" i="1"/>
  <c r="AA358" i="1"/>
  <c r="AB358" i="1"/>
  <c r="AC358" i="1"/>
  <c r="AD358" i="1"/>
  <c r="AE358" i="1"/>
  <c r="AF358" i="1"/>
  <c r="AG358" i="1"/>
  <c r="AH358" i="1"/>
  <c r="AI358" i="1"/>
  <c r="AP358" i="1"/>
  <c r="AQ358" i="1"/>
  <c r="AR358" i="1"/>
  <c r="AS358" i="1"/>
  <c r="AU358" i="1"/>
  <c r="AV358" i="1"/>
  <c r="AX358" i="1"/>
  <c r="BK358" i="1"/>
  <c r="BL358" i="1"/>
  <c r="BM358" i="1"/>
  <c r="BP358" i="1"/>
  <c r="BR358" i="1"/>
  <c r="I359" i="1"/>
  <c r="J359" i="1"/>
  <c r="K359" i="1"/>
  <c r="L359" i="1"/>
  <c r="M359" i="1"/>
  <c r="N359" i="1"/>
  <c r="O359" i="1"/>
  <c r="P359" i="1"/>
  <c r="Q359" i="1"/>
  <c r="R359" i="1"/>
  <c r="S359" i="1"/>
  <c r="T359" i="1"/>
  <c r="U359" i="1"/>
  <c r="V359" i="1"/>
  <c r="W359" i="1"/>
  <c r="X359" i="1"/>
  <c r="Y359" i="1"/>
  <c r="Z359" i="1"/>
  <c r="AA359" i="1"/>
  <c r="AB359" i="1"/>
  <c r="AC359" i="1"/>
  <c r="AD359" i="1"/>
  <c r="AE359" i="1"/>
  <c r="AF359" i="1"/>
  <c r="AG359" i="1"/>
  <c r="AH359" i="1"/>
  <c r="AI359" i="1"/>
  <c r="AP359" i="1"/>
  <c r="AQ359" i="1"/>
  <c r="AR359" i="1"/>
  <c r="AS359" i="1"/>
  <c r="AU359" i="1"/>
  <c r="AV359" i="1"/>
  <c r="AX359" i="1"/>
  <c r="BK359" i="1"/>
  <c r="BL359" i="1"/>
  <c r="BM359" i="1"/>
  <c r="BP359" i="1"/>
  <c r="BR359" i="1"/>
  <c r="I360" i="1"/>
  <c r="J360" i="1"/>
  <c r="K360" i="1"/>
  <c r="L360" i="1"/>
  <c r="M360" i="1"/>
  <c r="N360" i="1"/>
  <c r="O360" i="1"/>
  <c r="P360" i="1"/>
  <c r="Q360" i="1"/>
  <c r="R360" i="1"/>
  <c r="S360" i="1"/>
  <c r="T360" i="1"/>
  <c r="U360" i="1"/>
  <c r="V360" i="1"/>
  <c r="W360" i="1"/>
  <c r="X360" i="1"/>
  <c r="Y360" i="1"/>
  <c r="Z360" i="1"/>
  <c r="AA360" i="1"/>
  <c r="AB360" i="1"/>
  <c r="AC360" i="1"/>
  <c r="AD360" i="1"/>
  <c r="AE360" i="1"/>
  <c r="AF360" i="1"/>
  <c r="AG360" i="1"/>
  <c r="AH360" i="1"/>
  <c r="AI360" i="1"/>
  <c r="AP360" i="1"/>
  <c r="AQ360" i="1"/>
  <c r="AR360" i="1"/>
  <c r="AS360" i="1"/>
  <c r="AU360" i="1"/>
  <c r="AV360" i="1"/>
  <c r="AX360" i="1"/>
  <c r="BK360" i="1"/>
  <c r="BL360" i="1"/>
  <c r="BM360" i="1"/>
  <c r="BP360" i="1"/>
  <c r="BR360" i="1"/>
  <c r="I361" i="1"/>
  <c r="J361" i="1"/>
  <c r="K361" i="1"/>
  <c r="L361" i="1"/>
  <c r="M361" i="1"/>
  <c r="N361" i="1"/>
  <c r="O361" i="1"/>
  <c r="P361" i="1"/>
  <c r="Q361" i="1"/>
  <c r="R361" i="1"/>
  <c r="S361" i="1"/>
  <c r="T361" i="1"/>
  <c r="U361" i="1"/>
  <c r="V361" i="1"/>
  <c r="W361" i="1"/>
  <c r="X361" i="1"/>
  <c r="Y361" i="1"/>
  <c r="Z361" i="1"/>
  <c r="AA361" i="1"/>
  <c r="AB361" i="1"/>
  <c r="AC361" i="1"/>
  <c r="AD361" i="1"/>
  <c r="AE361" i="1"/>
  <c r="AF361" i="1"/>
  <c r="AG361" i="1"/>
  <c r="AH361" i="1"/>
  <c r="AI361" i="1"/>
  <c r="AP361" i="1"/>
  <c r="AQ361" i="1"/>
  <c r="AR361" i="1"/>
  <c r="AS361" i="1"/>
  <c r="AU361" i="1"/>
  <c r="AV361" i="1"/>
  <c r="AX361" i="1"/>
  <c r="BK361" i="1"/>
  <c r="BL361" i="1"/>
  <c r="BM361" i="1"/>
  <c r="BP361" i="1"/>
  <c r="BR361" i="1"/>
  <c r="I347" i="1"/>
  <c r="J347" i="1"/>
  <c r="K347" i="1"/>
  <c r="L347" i="1"/>
  <c r="M347" i="1"/>
  <c r="N347" i="1"/>
  <c r="O347" i="1"/>
  <c r="P347" i="1"/>
  <c r="Q347" i="1"/>
  <c r="R347" i="1"/>
  <c r="S347" i="1"/>
  <c r="T347" i="1"/>
  <c r="U347" i="1"/>
  <c r="V347" i="1"/>
  <c r="W347" i="1"/>
  <c r="X347" i="1"/>
  <c r="Y347" i="1"/>
  <c r="Z347" i="1"/>
  <c r="AA347" i="1"/>
  <c r="AB347" i="1"/>
  <c r="AC347" i="1"/>
  <c r="AD347" i="1"/>
  <c r="AE347" i="1"/>
  <c r="AF347" i="1"/>
  <c r="AG347" i="1"/>
  <c r="AH347" i="1"/>
  <c r="AI347" i="1"/>
  <c r="AP347" i="1"/>
  <c r="AQ347" i="1"/>
  <c r="AR347" i="1"/>
  <c r="AS347" i="1"/>
  <c r="AU347" i="1"/>
  <c r="AV347" i="1"/>
  <c r="AX347" i="1"/>
  <c r="BK347" i="1"/>
  <c r="BL347" i="1"/>
  <c r="BM347" i="1"/>
  <c r="BP347" i="1"/>
  <c r="BR347" i="1"/>
  <c r="I348" i="1"/>
  <c r="J348" i="1"/>
  <c r="K348" i="1"/>
  <c r="L348" i="1"/>
  <c r="M348" i="1"/>
  <c r="N348" i="1"/>
  <c r="O348" i="1"/>
  <c r="P348" i="1"/>
  <c r="Q348" i="1"/>
  <c r="R348" i="1"/>
  <c r="S348" i="1"/>
  <c r="T348" i="1"/>
  <c r="U348" i="1"/>
  <c r="V348" i="1"/>
  <c r="W348" i="1"/>
  <c r="X348" i="1"/>
  <c r="Y348" i="1"/>
  <c r="Z348" i="1"/>
  <c r="AA348" i="1"/>
  <c r="AB348" i="1"/>
  <c r="AC348" i="1"/>
  <c r="AD348" i="1"/>
  <c r="AE348" i="1"/>
  <c r="AF348" i="1"/>
  <c r="AG348" i="1"/>
  <c r="AH348" i="1"/>
  <c r="AI348" i="1"/>
  <c r="AP348" i="1"/>
  <c r="AQ348" i="1"/>
  <c r="AR348" i="1"/>
  <c r="AS348" i="1"/>
  <c r="AU348" i="1"/>
  <c r="AV348" i="1"/>
  <c r="AX348" i="1"/>
  <c r="BK348" i="1"/>
  <c r="BL348" i="1"/>
  <c r="BM348" i="1"/>
  <c r="BP348" i="1"/>
  <c r="BR348" i="1"/>
  <c r="I349" i="1"/>
  <c r="J349" i="1"/>
  <c r="K349" i="1"/>
  <c r="L349" i="1"/>
  <c r="M349" i="1"/>
  <c r="N349" i="1"/>
  <c r="O349" i="1"/>
  <c r="P349" i="1"/>
  <c r="Q349" i="1"/>
  <c r="R349" i="1"/>
  <c r="S349" i="1"/>
  <c r="T349" i="1"/>
  <c r="U349" i="1"/>
  <c r="V349" i="1"/>
  <c r="W349" i="1"/>
  <c r="X349" i="1"/>
  <c r="Y349" i="1"/>
  <c r="Z349" i="1"/>
  <c r="AA349" i="1"/>
  <c r="AB349" i="1"/>
  <c r="AC349" i="1"/>
  <c r="AD349" i="1"/>
  <c r="AE349" i="1"/>
  <c r="AF349" i="1"/>
  <c r="AG349" i="1"/>
  <c r="AH349" i="1"/>
  <c r="AI349" i="1"/>
  <c r="AP349" i="1"/>
  <c r="AQ349" i="1"/>
  <c r="AR349" i="1"/>
  <c r="AS349" i="1"/>
  <c r="AU349" i="1"/>
  <c r="AV349" i="1"/>
  <c r="AX349" i="1"/>
  <c r="BK349" i="1"/>
  <c r="BL349" i="1"/>
  <c r="BM349" i="1"/>
  <c r="BP349" i="1"/>
  <c r="BR349" i="1"/>
  <c r="I350" i="1"/>
  <c r="J350" i="1"/>
  <c r="K350" i="1"/>
  <c r="L350" i="1"/>
  <c r="M350" i="1"/>
  <c r="N350" i="1"/>
  <c r="O350" i="1"/>
  <c r="P350" i="1"/>
  <c r="Q350" i="1"/>
  <c r="R350" i="1"/>
  <c r="S350" i="1"/>
  <c r="T350" i="1"/>
  <c r="U350" i="1"/>
  <c r="V350" i="1"/>
  <c r="W350" i="1"/>
  <c r="X350" i="1"/>
  <c r="Y350" i="1"/>
  <c r="Z350" i="1"/>
  <c r="AA350" i="1"/>
  <c r="AB350" i="1"/>
  <c r="AC350" i="1"/>
  <c r="AD350" i="1"/>
  <c r="AE350" i="1"/>
  <c r="AF350" i="1"/>
  <c r="AG350" i="1"/>
  <c r="AH350" i="1"/>
  <c r="AI350" i="1"/>
  <c r="AP350" i="1"/>
  <c r="AQ350" i="1"/>
  <c r="AR350" i="1"/>
  <c r="AS350" i="1"/>
  <c r="AU350" i="1"/>
  <c r="AV350" i="1"/>
  <c r="AX350" i="1"/>
  <c r="BK350" i="1"/>
  <c r="BL350" i="1"/>
  <c r="BM350" i="1"/>
  <c r="BP350" i="1"/>
  <c r="BR350" i="1"/>
  <c r="I351" i="1"/>
  <c r="J351" i="1"/>
  <c r="K351" i="1"/>
  <c r="L351" i="1"/>
  <c r="M351" i="1"/>
  <c r="N351" i="1"/>
  <c r="O351" i="1"/>
  <c r="P351" i="1"/>
  <c r="Q351" i="1"/>
  <c r="R351" i="1"/>
  <c r="S351" i="1"/>
  <c r="T351" i="1"/>
  <c r="U351" i="1"/>
  <c r="V351" i="1"/>
  <c r="W351" i="1"/>
  <c r="X351" i="1"/>
  <c r="Y351" i="1"/>
  <c r="Z351" i="1"/>
  <c r="AA351" i="1"/>
  <c r="AB351" i="1"/>
  <c r="AC351" i="1"/>
  <c r="AD351" i="1"/>
  <c r="AE351" i="1"/>
  <c r="AF351" i="1"/>
  <c r="AG351" i="1"/>
  <c r="AH351" i="1"/>
  <c r="AI351" i="1"/>
  <c r="AP351" i="1"/>
  <c r="AQ351" i="1"/>
  <c r="AR351" i="1"/>
  <c r="AS351" i="1"/>
  <c r="AU351" i="1"/>
  <c r="AV351" i="1"/>
  <c r="AX351" i="1"/>
  <c r="BK351" i="1"/>
  <c r="BL351" i="1"/>
  <c r="BM351" i="1"/>
  <c r="BP351" i="1"/>
  <c r="BR351" i="1"/>
  <c r="I258" i="1"/>
  <c r="J258" i="1"/>
  <c r="K258" i="1"/>
  <c r="L258" i="1"/>
  <c r="M258" i="1"/>
  <c r="N258" i="1"/>
  <c r="O258" i="1"/>
  <c r="P258" i="1"/>
  <c r="Q258" i="1"/>
  <c r="R258" i="1"/>
  <c r="S258" i="1"/>
  <c r="T258" i="1"/>
  <c r="U258" i="1"/>
  <c r="V258" i="1"/>
  <c r="W258" i="1"/>
  <c r="X258" i="1"/>
  <c r="Y258" i="1"/>
  <c r="Z258" i="1"/>
  <c r="AA258" i="1"/>
  <c r="AB258" i="1"/>
  <c r="AC258" i="1"/>
  <c r="AD258" i="1"/>
  <c r="AE258" i="1"/>
  <c r="AF258" i="1"/>
  <c r="AG258" i="1"/>
  <c r="AH258" i="1"/>
  <c r="AI258" i="1"/>
  <c r="AP258" i="1"/>
  <c r="AQ258" i="1"/>
  <c r="AR258" i="1"/>
  <c r="AS258" i="1"/>
  <c r="AU258" i="1"/>
  <c r="AV258" i="1"/>
  <c r="AX258" i="1"/>
  <c r="BK258" i="1"/>
  <c r="BL258" i="1"/>
  <c r="BM258" i="1"/>
  <c r="BP258" i="1"/>
  <c r="BR258" i="1"/>
  <c r="I352" i="1"/>
  <c r="J352" i="1"/>
  <c r="K352" i="1"/>
  <c r="L352" i="1"/>
  <c r="M352" i="1"/>
  <c r="N352" i="1"/>
  <c r="O352" i="1"/>
  <c r="P352" i="1"/>
  <c r="Q352" i="1"/>
  <c r="R352" i="1"/>
  <c r="S352" i="1"/>
  <c r="T352" i="1"/>
  <c r="U352" i="1"/>
  <c r="V352" i="1"/>
  <c r="W352" i="1"/>
  <c r="X352" i="1"/>
  <c r="Y352" i="1"/>
  <c r="Z352" i="1"/>
  <c r="AA352" i="1"/>
  <c r="AB352" i="1"/>
  <c r="AC352" i="1"/>
  <c r="AD352" i="1"/>
  <c r="AE352" i="1"/>
  <c r="AF352" i="1"/>
  <c r="AG352" i="1"/>
  <c r="AH352" i="1"/>
  <c r="AI352" i="1"/>
  <c r="AP352" i="1"/>
  <c r="AQ352" i="1"/>
  <c r="AR352" i="1"/>
  <c r="AS352" i="1"/>
  <c r="AU352" i="1"/>
  <c r="AV352" i="1"/>
  <c r="AX352" i="1"/>
  <c r="BK352" i="1"/>
  <c r="BL352" i="1"/>
  <c r="BM352" i="1"/>
  <c r="BP352" i="1"/>
  <c r="BR352" i="1"/>
  <c r="I346" i="1"/>
  <c r="J346" i="1"/>
  <c r="K346" i="1"/>
  <c r="L346" i="1"/>
  <c r="M346" i="1"/>
  <c r="N346" i="1"/>
  <c r="O346" i="1"/>
  <c r="P346" i="1"/>
  <c r="Q346" i="1"/>
  <c r="R346" i="1"/>
  <c r="S346" i="1"/>
  <c r="T346" i="1"/>
  <c r="U346" i="1"/>
  <c r="V346" i="1"/>
  <c r="W346" i="1"/>
  <c r="X346" i="1"/>
  <c r="Y346" i="1"/>
  <c r="Z346" i="1"/>
  <c r="AA346" i="1"/>
  <c r="AB346" i="1"/>
  <c r="AC346" i="1"/>
  <c r="AD346" i="1"/>
  <c r="AE346" i="1"/>
  <c r="AF346" i="1"/>
  <c r="AG346" i="1"/>
  <c r="AH346" i="1"/>
  <c r="AI346" i="1"/>
  <c r="AP346" i="1"/>
  <c r="AQ346" i="1"/>
  <c r="AR346" i="1"/>
  <c r="AS346" i="1"/>
  <c r="AU346" i="1"/>
  <c r="AV346" i="1"/>
  <c r="AX346" i="1"/>
  <c r="BK346" i="1"/>
  <c r="BL346" i="1"/>
  <c r="BM346" i="1"/>
  <c r="BP346" i="1"/>
  <c r="BR346" i="1"/>
  <c r="I342" i="1"/>
  <c r="J342" i="1"/>
  <c r="K342" i="1"/>
  <c r="L342" i="1"/>
  <c r="M342" i="1"/>
  <c r="N342" i="1"/>
  <c r="O342" i="1"/>
  <c r="P342" i="1"/>
  <c r="Q342" i="1"/>
  <c r="R342" i="1"/>
  <c r="S342" i="1"/>
  <c r="T342" i="1"/>
  <c r="U342" i="1"/>
  <c r="V342" i="1"/>
  <c r="W342" i="1"/>
  <c r="X342" i="1"/>
  <c r="Y342" i="1"/>
  <c r="Z342" i="1"/>
  <c r="AA342" i="1"/>
  <c r="AB342" i="1"/>
  <c r="AC342" i="1"/>
  <c r="AD342" i="1"/>
  <c r="AE342" i="1"/>
  <c r="AF342" i="1"/>
  <c r="AG342" i="1"/>
  <c r="AH342" i="1"/>
  <c r="AI342" i="1"/>
  <c r="AP342" i="1"/>
  <c r="AQ342" i="1"/>
  <c r="AR342" i="1"/>
  <c r="AS342" i="1"/>
  <c r="AU342" i="1"/>
  <c r="AV342" i="1"/>
  <c r="AX342" i="1"/>
  <c r="BK342" i="1"/>
  <c r="BL342" i="1"/>
  <c r="BM342" i="1"/>
  <c r="BP342" i="1"/>
  <c r="BR342" i="1"/>
  <c r="I343" i="1"/>
  <c r="J343" i="1"/>
  <c r="K343" i="1"/>
  <c r="L343" i="1"/>
  <c r="M343" i="1"/>
  <c r="N343" i="1"/>
  <c r="O343" i="1"/>
  <c r="P343" i="1"/>
  <c r="Q343" i="1"/>
  <c r="R343" i="1"/>
  <c r="S343" i="1"/>
  <c r="T343" i="1"/>
  <c r="U343" i="1"/>
  <c r="V343" i="1"/>
  <c r="W343" i="1"/>
  <c r="X343" i="1"/>
  <c r="Y343" i="1"/>
  <c r="Z343" i="1"/>
  <c r="AA343" i="1"/>
  <c r="AB343" i="1"/>
  <c r="AC343" i="1"/>
  <c r="AD343" i="1"/>
  <c r="AE343" i="1"/>
  <c r="AF343" i="1"/>
  <c r="AG343" i="1"/>
  <c r="AH343" i="1"/>
  <c r="AI343" i="1"/>
  <c r="AP343" i="1"/>
  <c r="AQ343" i="1"/>
  <c r="AR343" i="1"/>
  <c r="AS343" i="1"/>
  <c r="AU343" i="1"/>
  <c r="AV343" i="1"/>
  <c r="AX343" i="1"/>
  <c r="BK343" i="1"/>
  <c r="BL343" i="1"/>
  <c r="BM343" i="1"/>
  <c r="BP343" i="1"/>
  <c r="BR343" i="1"/>
  <c r="I344" i="1"/>
  <c r="J344" i="1"/>
  <c r="K344" i="1"/>
  <c r="L344" i="1"/>
  <c r="M344" i="1"/>
  <c r="N344" i="1"/>
  <c r="O344" i="1"/>
  <c r="P344" i="1"/>
  <c r="Q344" i="1"/>
  <c r="R344" i="1"/>
  <c r="S344" i="1"/>
  <c r="T344" i="1"/>
  <c r="U344" i="1"/>
  <c r="V344" i="1"/>
  <c r="W344" i="1"/>
  <c r="X344" i="1"/>
  <c r="Y344" i="1"/>
  <c r="Z344" i="1"/>
  <c r="AA344" i="1"/>
  <c r="AB344" i="1"/>
  <c r="AC344" i="1"/>
  <c r="AD344" i="1"/>
  <c r="AE344" i="1"/>
  <c r="AF344" i="1"/>
  <c r="AG344" i="1"/>
  <c r="AH344" i="1"/>
  <c r="AI344" i="1"/>
  <c r="AP344" i="1"/>
  <c r="AQ344" i="1"/>
  <c r="AR344" i="1"/>
  <c r="AS344" i="1"/>
  <c r="AU344" i="1"/>
  <c r="AV344" i="1"/>
  <c r="AX344" i="1"/>
  <c r="BK344" i="1"/>
  <c r="BL344" i="1"/>
  <c r="BM344" i="1"/>
  <c r="BP344" i="1"/>
  <c r="BR344" i="1"/>
  <c r="I345" i="1"/>
  <c r="J345" i="1"/>
  <c r="K345" i="1"/>
  <c r="L345" i="1"/>
  <c r="M345" i="1"/>
  <c r="N345" i="1"/>
  <c r="O345" i="1"/>
  <c r="P345" i="1"/>
  <c r="Q345" i="1"/>
  <c r="R345" i="1"/>
  <c r="S345" i="1"/>
  <c r="T345" i="1"/>
  <c r="U345" i="1"/>
  <c r="V345" i="1"/>
  <c r="W345" i="1"/>
  <c r="X345" i="1"/>
  <c r="Y345" i="1"/>
  <c r="Z345" i="1"/>
  <c r="AA345" i="1"/>
  <c r="AB345" i="1"/>
  <c r="AC345" i="1"/>
  <c r="AD345" i="1"/>
  <c r="AE345" i="1"/>
  <c r="AF345" i="1"/>
  <c r="AG345" i="1"/>
  <c r="AH345" i="1"/>
  <c r="AI345" i="1"/>
  <c r="AP345" i="1"/>
  <c r="AQ345" i="1"/>
  <c r="AR345" i="1"/>
  <c r="AS345" i="1"/>
  <c r="AU345" i="1"/>
  <c r="AV345" i="1"/>
  <c r="AX345" i="1"/>
  <c r="BK345" i="1"/>
  <c r="BL345" i="1"/>
  <c r="BM345" i="1"/>
  <c r="BP345" i="1"/>
  <c r="BR345" i="1"/>
  <c r="I339" i="1"/>
  <c r="J339" i="1"/>
  <c r="K339" i="1"/>
  <c r="L339" i="1"/>
  <c r="M339" i="1"/>
  <c r="N339" i="1"/>
  <c r="O339" i="1"/>
  <c r="P339" i="1"/>
  <c r="Q339" i="1"/>
  <c r="R339" i="1"/>
  <c r="S339" i="1"/>
  <c r="T339" i="1"/>
  <c r="U339" i="1"/>
  <c r="V339" i="1"/>
  <c r="W339" i="1"/>
  <c r="X339" i="1"/>
  <c r="Y339" i="1"/>
  <c r="Z339" i="1"/>
  <c r="AA339" i="1"/>
  <c r="AB339" i="1"/>
  <c r="AC339" i="1"/>
  <c r="AD339" i="1"/>
  <c r="AE339" i="1"/>
  <c r="AF339" i="1"/>
  <c r="AG339" i="1"/>
  <c r="AH339" i="1"/>
  <c r="AI339" i="1"/>
  <c r="AP339" i="1"/>
  <c r="AQ339" i="1"/>
  <c r="AR339" i="1"/>
  <c r="AS339" i="1"/>
  <c r="AU339" i="1"/>
  <c r="AV339" i="1"/>
  <c r="AX339" i="1"/>
  <c r="BK339" i="1"/>
  <c r="BL339" i="1"/>
  <c r="BM339" i="1"/>
  <c r="BP339" i="1"/>
  <c r="BR339" i="1"/>
  <c r="I340" i="1"/>
  <c r="J340" i="1"/>
  <c r="K340" i="1"/>
  <c r="L340" i="1"/>
  <c r="M340" i="1"/>
  <c r="N340" i="1"/>
  <c r="O340" i="1"/>
  <c r="P340" i="1"/>
  <c r="Q340" i="1"/>
  <c r="R340" i="1"/>
  <c r="S340" i="1"/>
  <c r="T340" i="1"/>
  <c r="U340" i="1"/>
  <c r="V340" i="1"/>
  <c r="W340" i="1"/>
  <c r="X340" i="1"/>
  <c r="Y340" i="1"/>
  <c r="Z340" i="1"/>
  <c r="AA340" i="1"/>
  <c r="AB340" i="1"/>
  <c r="AC340" i="1"/>
  <c r="AD340" i="1"/>
  <c r="AE340" i="1"/>
  <c r="AF340" i="1"/>
  <c r="AG340" i="1"/>
  <c r="AH340" i="1"/>
  <c r="AI340" i="1"/>
  <c r="AP340" i="1"/>
  <c r="AQ340" i="1"/>
  <c r="AR340" i="1"/>
  <c r="AS340" i="1"/>
  <c r="AU340" i="1"/>
  <c r="AV340" i="1"/>
  <c r="AX340" i="1"/>
  <c r="BK340" i="1"/>
  <c r="BL340" i="1"/>
  <c r="BM340" i="1"/>
  <c r="BP340" i="1"/>
  <c r="BR340" i="1"/>
  <c r="I341" i="1"/>
  <c r="J341" i="1"/>
  <c r="K341" i="1"/>
  <c r="L341" i="1"/>
  <c r="M341" i="1"/>
  <c r="N341" i="1"/>
  <c r="O341" i="1"/>
  <c r="P341" i="1"/>
  <c r="Q341" i="1"/>
  <c r="R341" i="1"/>
  <c r="S341" i="1"/>
  <c r="T341" i="1"/>
  <c r="U341" i="1"/>
  <c r="V341" i="1"/>
  <c r="W341" i="1"/>
  <c r="X341" i="1"/>
  <c r="Y341" i="1"/>
  <c r="Z341" i="1"/>
  <c r="AA341" i="1"/>
  <c r="AB341" i="1"/>
  <c r="AC341" i="1"/>
  <c r="AD341" i="1"/>
  <c r="AE341" i="1"/>
  <c r="AF341" i="1"/>
  <c r="AG341" i="1"/>
  <c r="AH341" i="1"/>
  <c r="AI341" i="1"/>
  <c r="AP341" i="1"/>
  <c r="AQ341" i="1"/>
  <c r="AR341" i="1"/>
  <c r="AS341" i="1"/>
  <c r="AU341" i="1"/>
  <c r="AV341" i="1"/>
  <c r="AX341" i="1"/>
  <c r="BK341" i="1"/>
  <c r="BL341" i="1"/>
  <c r="BM341" i="1"/>
  <c r="BP341" i="1"/>
  <c r="BR341" i="1"/>
  <c r="I331" i="1"/>
  <c r="J331" i="1"/>
  <c r="K331" i="1"/>
  <c r="L331" i="1"/>
  <c r="M331" i="1"/>
  <c r="N331" i="1"/>
  <c r="O331" i="1"/>
  <c r="P331" i="1"/>
  <c r="Q331" i="1"/>
  <c r="R331" i="1"/>
  <c r="S331" i="1"/>
  <c r="T331" i="1"/>
  <c r="U331" i="1"/>
  <c r="V331" i="1"/>
  <c r="W331" i="1"/>
  <c r="X331" i="1"/>
  <c r="Y331" i="1"/>
  <c r="Z331" i="1"/>
  <c r="AA331" i="1"/>
  <c r="AB331" i="1"/>
  <c r="AC331" i="1"/>
  <c r="AD331" i="1"/>
  <c r="AE331" i="1"/>
  <c r="AF331" i="1"/>
  <c r="AG331" i="1"/>
  <c r="AH331" i="1"/>
  <c r="AI331" i="1"/>
  <c r="AP331" i="1"/>
  <c r="AQ331" i="1"/>
  <c r="AR331" i="1"/>
  <c r="AS331" i="1"/>
  <c r="AU331" i="1"/>
  <c r="AV331" i="1"/>
  <c r="AX331" i="1"/>
  <c r="BK331" i="1"/>
  <c r="BL331" i="1"/>
  <c r="BM331" i="1"/>
  <c r="BP331" i="1"/>
  <c r="BR331" i="1"/>
  <c r="I332" i="1"/>
  <c r="J332" i="1"/>
  <c r="K332" i="1"/>
  <c r="L332" i="1"/>
  <c r="M332" i="1"/>
  <c r="N332" i="1"/>
  <c r="O332" i="1"/>
  <c r="P332" i="1"/>
  <c r="Q332" i="1"/>
  <c r="R332" i="1"/>
  <c r="S332" i="1"/>
  <c r="T332" i="1"/>
  <c r="U332" i="1"/>
  <c r="V332" i="1"/>
  <c r="W332" i="1"/>
  <c r="X332" i="1"/>
  <c r="Y332" i="1"/>
  <c r="Z332" i="1"/>
  <c r="AA332" i="1"/>
  <c r="AB332" i="1"/>
  <c r="AC332" i="1"/>
  <c r="AD332" i="1"/>
  <c r="AE332" i="1"/>
  <c r="AF332" i="1"/>
  <c r="AG332" i="1"/>
  <c r="AH332" i="1"/>
  <c r="AI332" i="1"/>
  <c r="AP332" i="1"/>
  <c r="AQ332" i="1"/>
  <c r="AR332" i="1"/>
  <c r="AS332" i="1"/>
  <c r="AU332" i="1"/>
  <c r="AV332" i="1"/>
  <c r="AX332" i="1"/>
  <c r="BK332" i="1"/>
  <c r="BL332" i="1"/>
  <c r="BM332" i="1"/>
  <c r="BP332" i="1"/>
  <c r="BR332" i="1"/>
  <c r="I333" i="1"/>
  <c r="J333" i="1"/>
  <c r="K333" i="1"/>
  <c r="L333" i="1"/>
  <c r="M333" i="1"/>
  <c r="N333" i="1"/>
  <c r="O333" i="1"/>
  <c r="P333" i="1"/>
  <c r="Q333" i="1"/>
  <c r="R333" i="1"/>
  <c r="S333" i="1"/>
  <c r="T333" i="1"/>
  <c r="U333" i="1"/>
  <c r="V333" i="1"/>
  <c r="W333" i="1"/>
  <c r="X333" i="1"/>
  <c r="Y333" i="1"/>
  <c r="Z333" i="1"/>
  <c r="AA333" i="1"/>
  <c r="AB333" i="1"/>
  <c r="AC333" i="1"/>
  <c r="AD333" i="1"/>
  <c r="AE333" i="1"/>
  <c r="AF333" i="1"/>
  <c r="AG333" i="1"/>
  <c r="AH333" i="1"/>
  <c r="AI333" i="1"/>
  <c r="AP333" i="1"/>
  <c r="AQ333" i="1"/>
  <c r="AR333" i="1"/>
  <c r="AS333" i="1"/>
  <c r="AU333" i="1"/>
  <c r="AV333" i="1"/>
  <c r="AX333" i="1"/>
  <c r="BK333" i="1"/>
  <c r="BL333" i="1"/>
  <c r="BM333" i="1"/>
  <c r="BP333" i="1"/>
  <c r="BR333" i="1"/>
  <c r="I334" i="1"/>
  <c r="J334" i="1"/>
  <c r="K334" i="1"/>
  <c r="L334" i="1"/>
  <c r="M334" i="1"/>
  <c r="N334" i="1"/>
  <c r="O334" i="1"/>
  <c r="P334" i="1"/>
  <c r="Q334" i="1"/>
  <c r="R334" i="1"/>
  <c r="S334" i="1"/>
  <c r="T334" i="1"/>
  <c r="U334" i="1"/>
  <c r="V334" i="1"/>
  <c r="W334" i="1"/>
  <c r="X334" i="1"/>
  <c r="Y334" i="1"/>
  <c r="Z334" i="1"/>
  <c r="AA334" i="1"/>
  <c r="AB334" i="1"/>
  <c r="AC334" i="1"/>
  <c r="AD334" i="1"/>
  <c r="AE334" i="1"/>
  <c r="AF334" i="1"/>
  <c r="AG334" i="1"/>
  <c r="AH334" i="1"/>
  <c r="AI334" i="1"/>
  <c r="AP334" i="1"/>
  <c r="AQ334" i="1"/>
  <c r="AR334" i="1"/>
  <c r="AS334" i="1"/>
  <c r="AU334" i="1"/>
  <c r="AV334" i="1"/>
  <c r="AX334" i="1"/>
  <c r="BK334" i="1"/>
  <c r="BL334" i="1"/>
  <c r="BM334" i="1"/>
  <c r="BP334" i="1"/>
  <c r="BR334" i="1"/>
  <c r="I335" i="1"/>
  <c r="J335" i="1"/>
  <c r="K335" i="1"/>
  <c r="L335" i="1"/>
  <c r="M335" i="1"/>
  <c r="N335" i="1"/>
  <c r="O335" i="1"/>
  <c r="P335" i="1"/>
  <c r="Q335" i="1"/>
  <c r="R335" i="1"/>
  <c r="S335" i="1"/>
  <c r="T335" i="1"/>
  <c r="U335" i="1"/>
  <c r="V335" i="1"/>
  <c r="W335" i="1"/>
  <c r="X335" i="1"/>
  <c r="Y335" i="1"/>
  <c r="Z335" i="1"/>
  <c r="AA335" i="1"/>
  <c r="AB335" i="1"/>
  <c r="AC335" i="1"/>
  <c r="AD335" i="1"/>
  <c r="AE335" i="1"/>
  <c r="AF335" i="1"/>
  <c r="AG335" i="1"/>
  <c r="AH335" i="1"/>
  <c r="AI335" i="1"/>
  <c r="AP335" i="1"/>
  <c r="AQ335" i="1"/>
  <c r="AR335" i="1"/>
  <c r="AS335" i="1"/>
  <c r="AU335" i="1"/>
  <c r="AV335" i="1"/>
  <c r="AX335" i="1"/>
  <c r="BK335" i="1"/>
  <c r="BL335" i="1"/>
  <c r="BM335" i="1"/>
  <c r="BP335" i="1"/>
  <c r="BR335" i="1"/>
  <c r="I336" i="1"/>
  <c r="J336" i="1"/>
  <c r="K336" i="1"/>
  <c r="L336" i="1"/>
  <c r="M336" i="1"/>
  <c r="N336" i="1"/>
  <c r="O336" i="1"/>
  <c r="P336" i="1"/>
  <c r="Q336" i="1"/>
  <c r="R336" i="1"/>
  <c r="S336" i="1"/>
  <c r="T336" i="1"/>
  <c r="U336" i="1"/>
  <c r="V336" i="1"/>
  <c r="W336" i="1"/>
  <c r="X336" i="1"/>
  <c r="Y336" i="1"/>
  <c r="Z336" i="1"/>
  <c r="AA336" i="1"/>
  <c r="AB336" i="1"/>
  <c r="AC336" i="1"/>
  <c r="AD336" i="1"/>
  <c r="AE336" i="1"/>
  <c r="AF336" i="1"/>
  <c r="AG336" i="1"/>
  <c r="AH336" i="1"/>
  <c r="AI336" i="1"/>
  <c r="AP336" i="1"/>
  <c r="AQ336" i="1"/>
  <c r="AR336" i="1"/>
  <c r="AS336" i="1"/>
  <c r="AU336" i="1"/>
  <c r="AV336" i="1"/>
  <c r="AX336" i="1"/>
  <c r="BK336" i="1"/>
  <c r="BL336" i="1"/>
  <c r="BM336" i="1"/>
  <c r="BP336" i="1"/>
  <c r="BR336" i="1"/>
  <c r="I297" i="1"/>
  <c r="J297" i="1"/>
  <c r="K297" i="1"/>
  <c r="L297" i="1"/>
  <c r="M297" i="1"/>
  <c r="N297" i="1"/>
  <c r="O297" i="1"/>
  <c r="P297" i="1"/>
  <c r="Q297" i="1"/>
  <c r="R297" i="1"/>
  <c r="S297" i="1"/>
  <c r="T297" i="1"/>
  <c r="U297" i="1"/>
  <c r="V297" i="1"/>
  <c r="W297" i="1"/>
  <c r="X297" i="1"/>
  <c r="Y297" i="1"/>
  <c r="Z297" i="1"/>
  <c r="AA297" i="1"/>
  <c r="AB297" i="1"/>
  <c r="AC297" i="1"/>
  <c r="AD297" i="1"/>
  <c r="AE297" i="1"/>
  <c r="AF297" i="1"/>
  <c r="AG297" i="1"/>
  <c r="AH297" i="1"/>
  <c r="AI297" i="1"/>
  <c r="AP297" i="1"/>
  <c r="AQ297" i="1"/>
  <c r="AR297" i="1"/>
  <c r="AS297" i="1"/>
  <c r="AU297" i="1"/>
  <c r="AV297" i="1"/>
  <c r="AX297" i="1"/>
  <c r="BK297" i="1"/>
  <c r="BL297" i="1"/>
  <c r="BM297" i="1"/>
  <c r="BP297" i="1"/>
  <c r="BR297" i="1"/>
  <c r="I337" i="1"/>
  <c r="J337" i="1"/>
  <c r="K337" i="1"/>
  <c r="L337" i="1"/>
  <c r="M337" i="1"/>
  <c r="N337" i="1"/>
  <c r="O337" i="1"/>
  <c r="P337" i="1"/>
  <c r="Q337" i="1"/>
  <c r="R337" i="1"/>
  <c r="S337" i="1"/>
  <c r="T337" i="1"/>
  <c r="U337" i="1"/>
  <c r="V337" i="1"/>
  <c r="W337" i="1"/>
  <c r="X337" i="1"/>
  <c r="Y337" i="1"/>
  <c r="Z337" i="1"/>
  <c r="AA337" i="1"/>
  <c r="AB337" i="1"/>
  <c r="AC337" i="1"/>
  <c r="AD337" i="1"/>
  <c r="AE337" i="1"/>
  <c r="AF337" i="1"/>
  <c r="AG337" i="1"/>
  <c r="AH337" i="1"/>
  <c r="AI337" i="1"/>
  <c r="AP337" i="1"/>
  <c r="AQ337" i="1"/>
  <c r="AR337" i="1"/>
  <c r="AS337" i="1"/>
  <c r="AU337" i="1"/>
  <c r="AV337" i="1"/>
  <c r="AX337" i="1"/>
  <c r="BK337" i="1"/>
  <c r="BL337" i="1"/>
  <c r="BM337" i="1"/>
  <c r="BP337" i="1"/>
  <c r="BR337" i="1"/>
  <c r="I338" i="1"/>
  <c r="J338" i="1"/>
  <c r="K338" i="1"/>
  <c r="L338" i="1"/>
  <c r="M338" i="1"/>
  <c r="N338" i="1"/>
  <c r="O338" i="1"/>
  <c r="P338" i="1"/>
  <c r="Q338" i="1"/>
  <c r="R338" i="1"/>
  <c r="S338" i="1"/>
  <c r="T338" i="1"/>
  <c r="U338" i="1"/>
  <c r="V338" i="1"/>
  <c r="W338" i="1"/>
  <c r="X338" i="1"/>
  <c r="Y338" i="1"/>
  <c r="Z338" i="1"/>
  <c r="AA338" i="1"/>
  <c r="AB338" i="1"/>
  <c r="AC338" i="1"/>
  <c r="AD338" i="1"/>
  <c r="AE338" i="1"/>
  <c r="AF338" i="1"/>
  <c r="AG338" i="1"/>
  <c r="AH338" i="1"/>
  <c r="AI338" i="1"/>
  <c r="AP338" i="1"/>
  <c r="AQ338" i="1"/>
  <c r="AR338" i="1"/>
  <c r="AS338" i="1"/>
  <c r="AU338" i="1"/>
  <c r="AV338" i="1"/>
  <c r="AX338" i="1"/>
  <c r="BK338" i="1"/>
  <c r="BL338" i="1"/>
  <c r="BM338" i="1"/>
  <c r="BP338" i="1"/>
  <c r="BR338" i="1"/>
  <c r="I538" i="1"/>
  <c r="J538" i="1"/>
  <c r="K538" i="1"/>
  <c r="L538" i="1"/>
  <c r="M538" i="1"/>
  <c r="N538" i="1"/>
  <c r="O538" i="1"/>
  <c r="P538" i="1"/>
  <c r="Q538" i="1"/>
  <c r="R538" i="1"/>
  <c r="S538" i="1"/>
  <c r="T538" i="1"/>
  <c r="U538" i="1"/>
  <c r="V538" i="1"/>
  <c r="W538" i="1"/>
  <c r="X538" i="1"/>
  <c r="Y538" i="1"/>
  <c r="Z538" i="1"/>
  <c r="AA538" i="1"/>
  <c r="AB538" i="1"/>
  <c r="AC538" i="1"/>
  <c r="AD538" i="1"/>
  <c r="AE538" i="1"/>
  <c r="AF538" i="1"/>
  <c r="AG538" i="1"/>
  <c r="AH538" i="1"/>
  <c r="AI538" i="1"/>
  <c r="AP538" i="1"/>
  <c r="AQ538" i="1"/>
  <c r="AR538" i="1"/>
  <c r="AS538" i="1"/>
  <c r="AU538" i="1"/>
  <c r="AV538" i="1"/>
  <c r="AX538" i="1"/>
  <c r="BK538" i="1"/>
  <c r="BL538" i="1"/>
  <c r="BM538" i="1"/>
  <c r="BP538" i="1"/>
  <c r="BR538" i="1"/>
  <c r="I323" i="1"/>
  <c r="J323" i="1"/>
  <c r="K323" i="1"/>
  <c r="L323" i="1"/>
  <c r="M323" i="1"/>
  <c r="N323" i="1"/>
  <c r="O323" i="1"/>
  <c r="P323" i="1"/>
  <c r="Q323" i="1"/>
  <c r="R323" i="1"/>
  <c r="S323" i="1"/>
  <c r="T323" i="1"/>
  <c r="U323" i="1"/>
  <c r="V323" i="1"/>
  <c r="W323" i="1"/>
  <c r="X323" i="1"/>
  <c r="Y323" i="1"/>
  <c r="Z323" i="1"/>
  <c r="AA323" i="1"/>
  <c r="AB323" i="1"/>
  <c r="AC323" i="1"/>
  <c r="AD323" i="1"/>
  <c r="AE323" i="1"/>
  <c r="AF323" i="1"/>
  <c r="AG323" i="1"/>
  <c r="AH323" i="1"/>
  <c r="AI323" i="1"/>
  <c r="AP323" i="1"/>
  <c r="AQ323" i="1"/>
  <c r="AR323" i="1"/>
  <c r="AS323" i="1"/>
  <c r="AU323" i="1"/>
  <c r="AV323" i="1"/>
  <c r="AX323" i="1"/>
  <c r="BK323" i="1"/>
  <c r="BL323" i="1"/>
  <c r="BM323" i="1"/>
  <c r="BP323" i="1"/>
  <c r="BR323" i="1"/>
  <c r="I324" i="1"/>
  <c r="J324" i="1"/>
  <c r="K324" i="1"/>
  <c r="L324" i="1"/>
  <c r="M324" i="1"/>
  <c r="N324" i="1"/>
  <c r="O324" i="1"/>
  <c r="P324" i="1"/>
  <c r="Q324" i="1"/>
  <c r="R324" i="1"/>
  <c r="S324" i="1"/>
  <c r="T324" i="1"/>
  <c r="U324" i="1"/>
  <c r="V324" i="1"/>
  <c r="W324" i="1"/>
  <c r="X324" i="1"/>
  <c r="Y324" i="1"/>
  <c r="Z324" i="1"/>
  <c r="AA324" i="1"/>
  <c r="AB324" i="1"/>
  <c r="AC324" i="1"/>
  <c r="AD324" i="1"/>
  <c r="AE324" i="1"/>
  <c r="AF324" i="1"/>
  <c r="AG324" i="1"/>
  <c r="AH324" i="1"/>
  <c r="AI324" i="1"/>
  <c r="AP324" i="1"/>
  <c r="AQ324" i="1"/>
  <c r="AR324" i="1"/>
  <c r="AS324" i="1"/>
  <c r="AU324" i="1"/>
  <c r="AV324" i="1"/>
  <c r="AX324" i="1"/>
  <c r="BK324" i="1"/>
  <c r="BL324" i="1"/>
  <c r="BM324" i="1"/>
  <c r="BP324" i="1"/>
  <c r="BR324" i="1"/>
  <c r="I325" i="1"/>
  <c r="J325" i="1"/>
  <c r="K325" i="1"/>
  <c r="L325" i="1"/>
  <c r="M325" i="1"/>
  <c r="N325" i="1"/>
  <c r="O325" i="1"/>
  <c r="P325" i="1"/>
  <c r="Q325" i="1"/>
  <c r="R325" i="1"/>
  <c r="S325" i="1"/>
  <c r="T325" i="1"/>
  <c r="U325" i="1"/>
  <c r="V325" i="1"/>
  <c r="W325" i="1"/>
  <c r="X325" i="1"/>
  <c r="Y325" i="1"/>
  <c r="Z325" i="1"/>
  <c r="AA325" i="1"/>
  <c r="AB325" i="1"/>
  <c r="AC325" i="1"/>
  <c r="AD325" i="1"/>
  <c r="AE325" i="1"/>
  <c r="AF325" i="1"/>
  <c r="AG325" i="1"/>
  <c r="AH325" i="1"/>
  <c r="AI325" i="1"/>
  <c r="AP325" i="1"/>
  <c r="AQ325" i="1"/>
  <c r="AR325" i="1"/>
  <c r="AS325" i="1"/>
  <c r="AU325" i="1"/>
  <c r="AV325" i="1"/>
  <c r="AX325" i="1"/>
  <c r="BK325" i="1"/>
  <c r="BL325" i="1"/>
  <c r="BM325" i="1"/>
  <c r="BP325" i="1"/>
  <c r="BR325" i="1"/>
  <c r="I326" i="1"/>
  <c r="J326" i="1"/>
  <c r="K326" i="1"/>
  <c r="L326" i="1"/>
  <c r="M326" i="1"/>
  <c r="N326" i="1"/>
  <c r="O326" i="1"/>
  <c r="P326" i="1"/>
  <c r="Q326" i="1"/>
  <c r="R326" i="1"/>
  <c r="S326" i="1"/>
  <c r="T326" i="1"/>
  <c r="U326" i="1"/>
  <c r="V326" i="1"/>
  <c r="W326" i="1"/>
  <c r="X326" i="1"/>
  <c r="Y326" i="1"/>
  <c r="Z326" i="1"/>
  <c r="AA326" i="1"/>
  <c r="AB326" i="1"/>
  <c r="AC326" i="1"/>
  <c r="AD326" i="1"/>
  <c r="AE326" i="1"/>
  <c r="AF326" i="1"/>
  <c r="AG326" i="1"/>
  <c r="AH326" i="1"/>
  <c r="AI326" i="1"/>
  <c r="AP326" i="1"/>
  <c r="AQ326" i="1"/>
  <c r="AR326" i="1"/>
  <c r="AS326" i="1"/>
  <c r="AU326" i="1"/>
  <c r="AV326" i="1"/>
  <c r="AX326" i="1"/>
  <c r="BK326" i="1"/>
  <c r="BL326" i="1"/>
  <c r="BM326" i="1"/>
  <c r="BP326" i="1"/>
  <c r="BR326" i="1"/>
  <c r="I327" i="1"/>
  <c r="J327" i="1"/>
  <c r="K327" i="1"/>
  <c r="L327" i="1"/>
  <c r="M327" i="1"/>
  <c r="N327" i="1"/>
  <c r="O327" i="1"/>
  <c r="P327" i="1"/>
  <c r="Q327" i="1"/>
  <c r="R327" i="1"/>
  <c r="S327" i="1"/>
  <c r="T327" i="1"/>
  <c r="U327" i="1"/>
  <c r="V327" i="1"/>
  <c r="W327" i="1"/>
  <c r="X327" i="1"/>
  <c r="Y327" i="1"/>
  <c r="Z327" i="1"/>
  <c r="AA327" i="1"/>
  <c r="AB327" i="1"/>
  <c r="AC327" i="1"/>
  <c r="AD327" i="1"/>
  <c r="AE327" i="1"/>
  <c r="AF327" i="1"/>
  <c r="AG327" i="1"/>
  <c r="AH327" i="1"/>
  <c r="AI327" i="1"/>
  <c r="AP327" i="1"/>
  <c r="AQ327" i="1"/>
  <c r="AR327" i="1"/>
  <c r="AS327" i="1"/>
  <c r="AU327" i="1"/>
  <c r="AV327" i="1"/>
  <c r="AX327" i="1"/>
  <c r="BK327" i="1"/>
  <c r="BL327" i="1"/>
  <c r="BM327" i="1"/>
  <c r="BP327" i="1"/>
  <c r="BR327" i="1"/>
  <c r="I328" i="1"/>
  <c r="J328" i="1"/>
  <c r="K328" i="1"/>
  <c r="L328" i="1"/>
  <c r="M328" i="1"/>
  <c r="N328" i="1"/>
  <c r="O328" i="1"/>
  <c r="P328" i="1"/>
  <c r="Q328" i="1"/>
  <c r="R328" i="1"/>
  <c r="S328" i="1"/>
  <c r="T328" i="1"/>
  <c r="U328" i="1"/>
  <c r="V328" i="1"/>
  <c r="W328" i="1"/>
  <c r="X328" i="1"/>
  <c r="Y328" i="1"/>
  <c r="Z328" i="1"/>
  <c r="AA328" i="1"/>
  <c r="AB328" i="1"/>
  <c r="AC328" i="1"/>
  <c r="AD328" i="1"/>
  <c r="AE328" i="1"/>
  <c r="AF328" i="1"/>
  <c r="AG328" i="1"/>
  <c r="AH328" i="1"/>
  <c r="AI328" i="1"/>
  <c r="AP328" i="1"/>
  <c r="AQ328" i="1"/>
  <c r="AR328" i="1"/>
  <c r="AS328" i="1"/>
  <c r="AU328" i="1"/>
  <c r="AV328" i="1"/>
  <c r="AX328" i="1"/>
  <c r="BK328" i="1"/>
  <c r="BL328" i="1"/>
  <c r="BM328" i="1"/>
  <c r="BP328" i="1"/>
  <c r="BR328" i="1"/>
  <c r="I329" i="1"/>
  <c r="J329" i="1"/>
  <c r="K329" i="1"/>
  <c r="L329" i="1"/>
  <c r="M329" i="1"/>
  <c r="N329" i="1"/>
  <c r="O329" i="1"/>
  <c r="P329" i="1"/>
  <c r="Q329" i="1"/>
  <c r="R329" i="1"/>
  <c r="S329" i="1"/>
  <c r="T329" i="1"/>
  <c r="U329" i="1"/>
  <c r="V329" i="1"/>
  <c r="W329" i="1"/>
  <c r="X329" i="1"/>
  <c r="Y329" i="1"/>
  <c r="Z329" i="1"/>
  <c r="AA329" i="1"/>
  <c r="AB329" i="1"/>
  <c r="AC329" i="1"/>
  <c r="AD329" i="1"/>
  <c r="AE329" i="1"/>
  <c r="AF329" i="1"/>
  <c r="AG329" i="1"/>
  <c r="AH329" i="1"/>
  <c r="AI329" i="1"/>
  <c r="AP329" i="1"/>
  <c r="AQ329" i="1"/>
  <c r="AR329" i="1"/>
  <c r="AS329" i="1"/>
  <c r="AU329" i="1"/>
  <c r="AV329" i="1"/>
  <c r="AX329" i="1"/>
  <c r="BK329" i="1"/>
  <c r="BL329" i="1"/>
  <c r="BM329" i="1"/>
  <c r="BP329" i="1"/>
  <c r="BR329" i="1"/>
  <c r="I330" i="1"/>
  <c r="J330" i="1"/>
  <c r="K330" i="1"/>
  <c r="L330" i="1"/>
  <c r="M330" i="1"/>
  <c r="N330" i="1"/>
  <c r="O330" i="1"/>
  <c r="P330" i="1"/>
  <c r="Q330" i="1"/>
  <c r="R330" i="1"/>
  <c r="S330" i="1"/>
  <c r="T330" i="1"/>
  <c r="U330" i="1"/>
  <c r="V330" i="1"/>
  <c r="W330" i="1"/>
  <c r="X330" i="1"/>
  <c r="Y330" i="1"/>
  <c r="Z330" i="1"/>
  <c r="AA330" i="1"/>
  <c r="AB330" i="1"/>
  <c r="AC330" i="1"/>
  <c r="AD330" i="1"/>
  <c r="AE330" i="1"/>
  <c r="AF330" i="1"/>
  <c r="AG330" i="1"/>
  <c r="AH330" i="1"/>
  <c r="AI330" i="1"/>
  <c r="AP330" i="1"/>
  <c r="AQ330" i="1"/>
  <c r="AR330" i="1"/>
  <c r="AS330" i="1"/>
  <c r="AU330" i="1"/>
  <c r="AV330" i="1"/>
  <c r="AX330" i="1"/>
  <c r="BK330" i="1"/>
  <c r="BL330" i="1"/>
  <c r="BM330" i="1"/>
  <c r="BP330" i="1"/>
  <c r="BR330" i="1"/>
  <c r="I321" i="1"/>
  <c r="J321" i="1"/>
  <c r="K321" i="1"/>
  <c r="L321" i="1"/>
  <c r="M321" i="1"/>
  <c r="N321" i="1"/>
  <c r="O321" i="1"/>
  <c r="P321" i="1"/>
  <c r="Q321" i="1"/>
  <c r="R321" i="1"/>
  <c r="S321" i="1"/>
  <c r="T321" i="1"/>
  <c r="U321" i="1"/>
  <c r="V321" i="1"/>
  <c r="W321" i="1"/>
  <c r="X321" i="1"/>
  <c r="Y321" i="1"/>
  <c r="Z321" i="1"/>
  <c r="AA321" i="1"/>
  <c r="AB321" i="1"/>
  <c r="AC321" i="1"/>
  <c r="AD321" i="1"/>
  <c r="AE321" i="1"/>
  <c r="AF321" i="1"/>
  <c r="AG321" i="1"/>
  <c r="AH321" i="1"/>
  <c r="AI321" i="1"/>
  <c r="AP321" i="1"/>
  <c r="AQ321" i="1"/>
  <c r="AR321" i="1"/>
  <c r="AS321" i="1"/>
  <c r="AU321" i="1"/>
  <c r="AV321" i="1"/>
  <c r="AX321" i="1"/>
  <c r="BK321" i="1"/>
  <c r="BL321" i="1"/>
  <c r="BM321" i="1"/>
  <c r="BP321" i="1"/>
  <c r="BR321" i="1"/>
  <c r="I322" i="1"/>
  <c r="J322" i="1"/>
  <c r="K322" i="1"/>
  <c r="L322" i="1"/>
  <c r="M322" i="1"/>
  <c r="N322" i="1"/>
  <c r="O322" i="1"/>
  <c r="P322" i="1"/>
  <c r="Q322" i="1"/>
  <c r="R322" i="1"/>
  <c r="S322" i="1"/>
  <c r="T322" i="1"/>
  <c r="U322" i="1"/>
  <c r="V322" i="1"/>
  <c r="W322" i="1"/>
  <c r="X322" i="1"/>
  <c r="Y322" i="1"/>
  <c r="Z322" i="1"/>
  <c r="AA322" i="1"/>
  <c r="AB322" i="1"/>
  <c r="AC322" i="1"/>
  <c r="AD322" i="1"/>
  <c r="AE322" i="1"/>
  <c r="AF322" i="1"/>
  <c r="AG322" i="1"/>
  <c r="AH322" i="1"/>
  <c r="AI322" i="1"/>
  <c r="AP322" i="1"/>
  <c r="AQ322" i="1"/>
  <c r="AR322" i="1"/>
  <c r="AS322" i="1"/>
  <c r="AU322" i="1"/>
  <c r="AV322" i="1"/>
  <c r="AX322" i="1"/>
  <c r="BK322" i="1"/>
  <c r="BL322" i="1"/>
  <c r="BM322" i="1"/>
  <c r="BP322" i="1"/>
  <c r="BR322" i="1"/>
  <c r="I313" i="1"/>
  <c r="J313" i="1"/>
  <c r="K313" i="1"/>
  <c r="L313" i="1"/>
  <c r="M313" i="1"/>
  <c r="N313" i="1"/>
  <c r="O313" i="1"/>
  <c r="P313" i="1"/>
  <c r="Q313" i="1"/>
  <c r="R313" i="1"/>
  <c r="S313" i="1"/>
  <c r="T313" i="1"/>
  <c r="U313" i="1"/>
  <c r="V313" i="1"/>
  <c r="W313" i="1"/>
  <c r="X313" i="1"/>
  <c r="Y313" i="1"/>
  <c r="Z313" i="1"/>
  <c r="AA313" i="1"/>
  <c r="AB313" i="1"/>
  <c r="AC313" i="1"/>
  <c r="AD313" i="1"/>
  <c r="AE313" i="1"/>
  <c r="AF313" i="1"/>
  <c r="AG313" i="1"/>
  <c r="AH313" i="1"/>
  <c r="AI313" i="1"/>
  <c r="AP313" i="1"/>
  <c r="AQ313" i="1"/>
  <c r="AR313" i="1"/>
  <c r="AS313" i="1"/>
  <c r="AU313" i="1"/>
  <c r="AV313" i="1"/>
  <c r="AX313" i="1"/>
  <c r="BK313" i="1"/>
  <c r="BL313" i="1"/>
  <c r="BM313" i="1"/>
  <c r="BP313" i="1"/>
  <c r="BR313" i="1"/>
  <c r="I314" i="1"/>
  <c r="J314" i="1"/>
  <c r="K314" i="1"/>
  <c r="L314" i="1"/>
  <c r="M314" i="1"/>
  <c r="N314" i="1"/>
  <c r="O314" i="1"/>
  <c r="P314" i="1"/>
  <c r="Q314" i="1"/>
  <c r="R314" i="1"/>
  <c r="S314" i="1"/>
  <c r="T314" i="1"/>
  <c r="U314" i="1"/>
  <c r="V314" i="1"/>
  <c r="W314" i="1"/>
  <c r="X314" i="1"/>
  <c r="Y314" i="1"/>
  <c r="Z314" i="1"/>
  <c r="AA314" i="1"/>
  <c r="AB314" i="1"/>
  <c r="AC314" i="1"/>
  <c r="AD314" i="1"/>
  <c r="AE314" i="1"/>
  <c r="AF314" i="1"/>
  <c r="AG314" i="1"/>
  <c r="AH314" i="1"/>
  <c r="AI314" i="1"/>
  <c r="AP314" i="1"/>
  <c r="AQ314" i="1"/>
  <c r="AR314" i="1"/>
  <c r="AS314" i="1"/>
  <c r="AU314" i="1"/>
  <c r="AV314" i="1"/>
  <c r="AX314" i="1"/>
  <c r="BK314" i="1"/>
  <c r="BL314" i="1"/>
  <c r="BM314" i="1"/>
  <c r="BP314" i="1"/>
  <c r="BR314" i="1"/>
  <c r="I315" i="1"/>
  <c r="J315" i="1"/>
  <c r="K315" i="1"/>
  <c r="L315" i="1"/>
  <c r="M315" i="1"/>
  <c r="N315" i="1"/>
  <c r="O315" i="1"/>
  <c r="P315" i="1"/>
  <c r="Q315" i="1"/>
  <c r="R315" i="1"/>
  <c r="S315" i="1"/>
  <c r="T315" i="1"/>
  <c r="U315" i="1"/>
  <c r="V315" i="1"/>
  <c r="W315" i="1"/>
  <c r="X315" i="1"/>
  <c r="Y315" i="1"/>
  <c r="Z315" i="1"/>
  <c r="AA315" i="1"/>
  <c r="AB315" i="1"/>
  <c r="AC315" i="1"/>
  <c r="AD315" i="1"/>
  <c r="AE315" i="1"/>
  <c r="AF315" i="1"/>
  <c r="AG315" i="1"/>
  <c r="AH315" i="1"/>
  <c r="AI315" i="1"/>
  <c r="AP315" i="1"/>
  <c r="AQ315" i="1"/>
  <c r="AR315" i="1"/>
  <c r="AS315" i="1"/>
  <c r="AU315" i="1"/>
  <c r="AV315" i="1"/>
  <c r="AX315" i="1"/>
  <c r="BK315" i="1"/>
  <c r="BL315" i="1"/>
  <c r="BM315" i="1"/>
  <c r="BP315" i="1"/>
  <c r="BR315" i="1"/>
  <c r="I316" i="1"/>
  <c r="J316" i="1"/>
  <c r="K316" i="1"/>
  <c r="L316" i="1"/>
  <c r="M316" i="1"/>
  <c r="N316" i="1"/>
  <c r="O316" i="1"/>
  <c r="P316" i="1"/>
  <c r="Q316" i="1"/>
  <c r="R316" i="1"/>
  <c r="S316" i="1"/>
  <c r="T316" i="1"/>
  <c r="U316" i="1"/>
  <c r="V316" i="1"/>
  <c r="W316" i="1"/>
  <c r="X316" i="1"/>
  <c r="Y316" i="1"/>
  <c r="Z316" i="1"/>
  <c r="AA316" i="1"/>
  <c r="AB316" i="1"/>
  <c r="AC316" i="1"/>
  <c r="AD316" i="1"/>
  <c r="AE316" i="1"/>
  <c r="AF316" i="1"/>
  <c r="AG316" i="1"/>
  <c r="AH316" i="1"/>
  <c r="AI316" i="1"/>
  <c r="AP316" i="1"/>
  <c r="AQ316" i="1"/>
  <c r="AR316" i="1"/>
  <c r="AS316" i="1"/>
  <c r="AU316" i="1"/>
  <c r="AV316" i="1"/>
  <c r="AX316" i="1"/>
  <c r="BK316" i="1"/>
  <c r="BL316" i="1"/>
  <c r="BM316" i="1"/>
  <c r="BP316" i="1"/>
  <c r="BR316" i="1"/>
  <c r="I317" i="1"/>
  <c r="J317" i="1"/>
  <c r="K317" i="1"/>
  <c r="L317" i="1"/>
  <c r="M317" i="1"/>
  <c r="N317" i="1"/>
  <c r="O317" i="1"/>
  <c r="P317" i="1"/>
  <c r="Q317" i="1"/>
  <c r="R317" i="1"/>
  <c r="S317" i="1"/>
  <c r="T317" i="1"/>
  <c r="U317" i="1"/>
  <c r="V317" i="1"/>
  <c r="W317" i="1"/>
  <c r="X317" i="1"/>
  <c r="Y317" i="1"/>
  <c r="Z317" i="1"/>
  <c r="AA317" i="1"/>
  <c r="AB317" i="1"/>
  <c r="AC317" i="1"/>
  <c r="AD317" i="1"/>
  <c r="AE317" i="1"/>
  <c r="AF317" i="1"/>
  <c r="AG317" i="1"/>
  <c r="AH317" i="1"/>
  <c r="AI317" i="1"/>
  <c r="AP317" i="1"/>
  <c r="AQ317" i="1"/>
  <c r="AR317" i="1"/>
  <c r="AS317" i="1"/>
  <c r="AU317" i="1"/>
  <c r="AV317" i="1"/>
  <c r="AX317" i="1"/>
  <c r="BK317" i="1"/>
  <c r="BL317" i="1"/>
  <c r="BM317" i="1"/>
  <c r="BP317" i="1"/>
  <c r="BR317" i="1"/>
  <c r="I318" i="1"/>
  <c r="J318" i="1"/>
  <c r="K318" i="1"/>
  <c r="L318" i="1"/>
  <c r="M318" i="1"/>
  <c r="N318" i="1"/>
  <c r="O318" i="1"/>
  <c r="P318" i="1"/>
  <c r="Q318" i="1"/>
  <c r="R318" i="1"/>
  <c r="S318" i="1"/>
  <c r="T318" i="1"/>
  <c r="U318" i="1"/>
  <c r="V318" i="1"/>
  <c r="W318" i="1"/>
  <c r="X318" i="1"/>
  <c r="Y318" i="1"/>
  <c r="Z318" i="1"/>
  <c r="AA318" i="1"/>
  <c r="AB318" i="1"/>
  <c r="AC318" i="1"/>
  <c r="AD318" i="1"/>
  <c r="AE318" i="1"/>
  <c r="AF318" i="1"/>
  <c r="AG318" i="1"/>
  <c r="AH318" i="1"/>
  <c r="AI318" i="1"/>
  <c r="AP318" i="1"/>
  <c r="AQ318" i="1"/>
  <c r="AR318" i="1"/>
  <c r="AS318" i="1"/>
  <c r="AU318" i="1"/>
  <c r="AV318" i="1"/>
  <c r="AX318" i="1"/>
  <c r="BK318" i="1"/>
  <c r="BL318" i="1"/>
  <c r="BM318" i="1"/>
  <c r="BP318" i="1"/>
  <c r="BR318" i="1"/>
  <c r="I319" i="1"/>
  <c r="J319" i="1"/>
  <c r="K319" i="1"/>
  <c r="L319" i="1"/>
  <c r="M319" i="1"/>
  <c r="N319" i="1"/>
  <c r="O319" i="1"/>
  <c r="P319" i="1"/>
  <c r="Q319" i="1"/>
  <c r="R319" i="1"/>
  <c r="S319" i="1"/>
  <c r="T319" i="1"/>
  <c r="U319" i="1"/>
  <c r="V319" i="1"/>
  <c r="W319" i="1"/>
  <c r="X319" i="1"/>
  <c r="Y319" i="1"/>
  <c r="Z319" i="1"/>
  <c r="AA319" i="1"/>
  <c r="AB319" i="1"/>
  <c r="AC319" i="1"/>
  <c r="AD319" i="1"/>
  <c r="AE319" i="1"/>
  <c r="AF319" i="1"/>
  <c r="AG319" i="1"/>
  <c r="AH319" i="1"/>
  <c r="AI319" i="1"/>
  <c r="AP319" i="1"/>
  <c r="AQ319" i="1"/>
  <c r="AR319" i="1"/>
  <c r="AS319" i="1"/>
  <c r="AU319" i="1"/>
  <c r="AV319" i="1"/>
  <c r="AX319" i="1"/>
  <c r="BK319" i="1"/>
  <c r="BL319" i="1"/>
  <c r="BM319" i="1"/>
  <c r="BP319" i="1"/>
  <c r="BR319" i="1"/>
  <c r="I320" i="1"/>
  <c r="J320" i="1"/>
  <c r="K320" i="1"/>
  <c r="L320" i="1"/>
  <c r="M320" i="1"/>
  <c r="N320" i="1"/>
  <c r="O320" i="1"/>
  <c r="P320" i="1"/>
  <c r="Q320" i="1"/>
  <c r="R320" i="1"/>
  <c r="S320" i="1"/>
  <c r="T320" i="1"/>
  <c r="U320" i="1"/>
  <c r="V320" i="1"/>
  <c r="W320" i="1"/>
  <c r="X320" i="1"/>
  <c r="Y320" i="1"/>
  <c r="Z320" i="1"/>
  <c r="AA320" i="1"/>
  <c r="AB320" i="1"/>
  <c r="AC320" i="1"/>
  <c r="AD320" i="1"/>
  <c r="AE320" i="1"/>
  <c r="AF320" i="1"/>
  <c r="AG320" i="1"/>
  <c r="AH320" i="1"/>
  <c r="AI320" i="1"/>
  <c r="AP320" i="1"/>
  <c r="AQ320" i="1"/>
  <c r="AR320" i="1"/>
  <c r="AS320" i="1"/>
  <c r="AU320" i="1"/>
  <c r="AV320" i="1"/>
  <c r="AX320" i="1"/>
  <c r="BK320" i="1"/>
  <c r="BL320" i="1"/>
  <c r="BM320" i="1"/>
  <c r="BP320" i="1"/>
  <c r="BR320" i="1"/>
  <c r="I308" i="1"/>
  <c r="J308" i="1"/>
  <c r="K308" i="1"/>
  <c r="L308" i="1"/>
  <c r="M308" i="1"/>
  <c r="N308" i="1"/>
  <c r="O308" i="1"/>
  <c r="P308" i="1"/>
  <c r="Q308" i="1"/>
  <c r="R308" i="1"/>
  <c r="S308" i="1"/>
  <c r="T308" i="1"/>
  <c r="U308" i="1"/>
  <c r="V308" i="1"/>
  <c r="W308" i="1"/>
  <c r="X308" i="1"/>
  <c r="Y308" i="1"/>
  <c r="Z308" i="1"/>
  <c r="AA308" i="1"/>
  <c r="AB308" i="1"/>
  <c r="AC308" i="1"/>
  <c r="AD308" i="1"/>
  <c r="AE308" i="1"/>
  <c r="AF308" i="1"/>
  <c r="AG308" i="1"/>
  <c r="AH308" i="1"/>
  <c r="AI308" i="1"/>
  <c r="AP308" i="1"/>
  <c r="AQ308" i="1"/>
  <c r="AR308" i="1"/>
  <c r="AS308" i="1"/>
  <c r="AU308" i="1"/>
  <c r="AV308" i="1"/>
  <c r="AX308" i="1"/>
  <c r="BK308" i="1"/>
  <c r="BL308" i="1"/>
  <c r="BM308" i="1"/>
  <c r="BP308" i="1"/>
  <c r="BR308" i="1"/>
  <c r="I309" i="1"/>
  <c r="J309" i="1"/>
  <c r="K309" i="1"/>
  <c r="L309" i="1"/>
  <c r="M309" i="1"/>
  <c r="N309" i="1"/>
  <c r="O309" i="1"/>
  <c r="P309" i="1"/>
  <c r="Q309" i="1"/>
  <c r="R309" i="1"/>
  <c r="S309" i="1"/>
  <c r="T309" i="1"/>
  <c r="U309" i="1"/>
  <c r="V309" i="1"/>
  <c r="W309" i="1"/>
  <c r="X309" i="1"/>
  <c r="Y309" i="1"/>
  <c r="Z309" i="1"/>
  <c r="AA309" i="1"/>
  <c r="AB309" i="1"/>
  <c r="AC309" i="1"/>
  <c r="AD309" i="1"/>
  <c r="AE309" i="1"/>
  <c r="AF309" i="1"/>
  <c r="AG309" i="1"/>
  <c r="AH309" i="1"/>
  <c r="AI309" i="1"/>
  <c r="AP309" i="1"/>
  <c r="AQ309" i="1"/>
  <c r="AR309" i="1"/>
  <c r="AS309" i="1"/>
  <c r="AU309" i="1"/>
  <c r="AV309" i="1"/>
  <c r="AX309" i="1"/>
  <c r="BK309" i="1"/>
  <c r="BL309" i="1"/>
  <c r="BM309" i="1"/>
  <c r="BP309" i="1"/>
  <c r="BR309" i="1"/>
  <c r="I310" i="1"/>
  <c r="J310" i="1"/>
  <c r="K310" i="1"/>
  <c r="L310" i="1"/>
  <c r="M310" i="1"/>
  <c r="N310" i="1"/>
  <c r="O310" i="1"/>
  <c r="P310" i="1"/>
  <c r="Q310" i="1"/>
  <c r="R310" i="1"/>
  <c r="S310" i="1"/>
  <c r="T310" i="1"/>
  <c r="U310" i="1"/>
  <c r="V310" i="1"/>
  <c r="W310" i="1"/>
  <c r="X310" i="1"/>
  <c r="Y310" i="1"/>
  <c r="Z310" i="1"/>
  <c r="AA310" i="1"/>
  <c r="AB310" i="1"/>
  <c r="AC310" i="1"/>
  <c r="AD310" i="1"/>
  <c r="AE310" i="1"/>
  <c r="AF310" i="1"/>
  <c r="AG310" i="1"/>
  <c r="AH310" i="1"/>
  <c r="AI310" i="1"/>
  <c r="AP310" i="1"/>
  <c r="AQ310" i="1"/>
  <c r="AR310" i="1"/>
  <c r="AS310" i="1"/>
  <c r="AU310" i="1"/>
  <c r="AV310" i="1"/>
  <c r="AX310" i="1"/>
  <c r="BK310" i="1"/>
  <c r="BL310" i="1"/>
  <c r="BM310" i="1"/>
  <c r="BP310" i="1"/>
  <c r="BR310" i="1"/>
  <c r="I311" i="1"/>
  <c r="J311" i="1"/>
  <c r="K311" i="1"/>
  <c r="L311" i="1"/>
  <c r="M311" i="1"/>
  <c r="N311" i="1"/>
  <c r="O311" i="1"/>
  <c r="P311" i="1"/>
  <c r="Q311" i="1"/>
  <c r="R311" i="1"/>
  <c r="S311" i="1"/>
  <c r="T311" i="1"/>
  <c r="U311" i="1"/>
  <c r="V311" i="1"/>
  <c r="W311" i="1"/>
  <c r="X311" i="1"/>
  <c r="Y311" i="1"/>
  <c r="Z311" i="1"/>
  <c r="AA311" i="1"/>
  <c r="AB311" i="1"/>
  <c r="AC311" i="1"/>
  <c r="AD311" i="1"/>
  <c r="AE311" i="1"/>
  <c r="AF311" i="1"/>
  <c r="AG311" i="1"/>
  <c r="AH311" i="1"/>
  <c r="AI311" i="1"/>
  <c r="AP311" i="1"/>
  <c r="AQ311" i="1"/>
  <c r="AR311" i="1"/>
  <c r="AS311" i="1"/>
  <c r="AU311" i="1"/>
  <c r="AV311" i="1"/>
  <c r="AX311" i="1"/>
  <c r="BK311" i="1"/>
  <c r="BL311" i="1"/>
  <c r="BM311" i="1"/>
  <c r="BP311" i="1"/>
  <c r="BR311" i="1"/>
  <c r="I312" i="1"/>
  <c r="J312" i="1"/>
  <c r="K312" i="1"/>
  <c r="L312" i="1"/>
  <c r="M312" i="1"/>
  <c r="N312" i="1"/>
  <c r="O312" i="1"/>
  <c r="P312" i="1"/>
  <c r="Q312" i="1"/>
  <c r="R312" i="1"/>
  <c r="S312" i="1"/>
  <c r="T312" i="1"/>
  <c r="U312" i="1"/>
  <c r="V312" i="1"/>
  <c r="W312" i="1"/>
  <c r="X312" i="1"/>
  <c r="Y312" i="1"/>
  <c r="Z312" i="1"/>
  <c r="AA312" i="1"/>
  <c r="AB312" i="1"/>
  <c r="AC312" i="1"/>
  <c r="AD312" i="1"/>
  <c r="AE312" i="1"/>
  <c r="AF312" i="1"/>
  <c r="AG312" i="1"/>
  <c r="AH312" i="1"/>
  <c r="AI312" i="1"/>
  <c r="AP312" i="1"/>
  <c r="AQ312" i="1"/>
  <c r="AR312" i="1"/>
  <c r="AS312" i="1"/>
  <c r="AU312" i="1"/>
  <c r="AV312" i="1"/>
  <c r="AX312" i="1"/>
  <c r="BK312" i="1"/>
  <c r="BL312" i="1"/>
  <c r="BM312" i="1"/>
  <c r="BP312" i="1"/>
  <c r="BR312" i="1"/>
  <c r="I299" i="1"/>
  <c r="J299" i="1"/>
  <c r="K299" i="1"/>
  <c r="L299" i="1"/>
  <c r="M299" i="1"/>
  <c r="N299" i="1"/>
  <c r="O299" i="1"/>
  <c r="P299" i="1"/>
  <c r="Q299" i="1"/>
  <c r="R299" i="1"/>
  <c r="S299" i="1"/>
  <c r="T299" i="1"/>
  <c r="U299" i="1"/>
  <c r="V299" i="1"/>
  <c r="W299" i="1"/>
  <c r="X299" i="1"/>
  <c r="Y299" i="1"/>
  <c r="Z299" i="1"/>
  <c r="AA299" i="1"/>
  <c r="AB299" i="1"/>
  <c r="AC299" i="1"/>
  <c r="AD299" i="1"/>
  <c r="AE299" i="1"/>
  <c r="AF299" i="1"/>
  <c r="AG299" i="1"/>
  <c r="AH299" i="1"/>
  <c r="AI299" i="1"/>
  <c r="AP299" i="1"/>
  <c r="AQ299" i="1"/>
  <c r="AR299" i="1"/>
  <c r="AS299" i="1"/>
  <c r="AU299" i="1"/>
  <c r="AV299" i="1"/>
  <c r="AX299" i="1"/>
  <c r="BK299" i="1"/>
  <c r="BL299" i="1"/>
  <c r="BM299" i="1"/>
  <c r="BP299" i="1"/>
  <c r="BR299" i="1"/>
  <c r="I300" i="1"/>
  <c r="J300" i="1"/>
  <c r="K300" i="1"/>
  <c r="L300" i="1"/>
  <c r="M300" i="1"/>
  <c r="N300" i="1"/>
  <c r="O300" i="1"/>
  <c r="P300" i="1"/>
  <c r="Q300" i="1"/>
  <c r="R300" i="1"/>
  <c r="S300" i="1"/>
  <c r="T300" i="1"/>
  <c r="U300" i="1"/>
  <c r="V300" i="1"/>
  <c r="W300" i="1"/>
  <c r="X300" i="1"/>
  <c r="Y300" i="1"/>
  <c r="Z300" i="1"/>
  <c r="AA300" i="1"/>
  <c r="AB300" i="1"/>
  <c r="AC300" i="1"/>
  <c r="AD300" i="1"/>
  <c r="AE300" i="1"/>
  <c r="AF300" i="1"/>
  <c r="AG300" i="1"/>
  <c r="AH300" i="1"/>
  <c r="AI300" i="1"/>
  <c r="AP300" i="1"/>
  <c r="AQ300" i="1"/>
  <c r="AR300" i="1"/>
  <c r="AS300" i="1"/>
  <c r="AU300" i="1"/>
  <c r="AV300" i="1"/>
  <c r="AX300" i="1"/>
  <c r="BK300" i="1"/>
  <c r="BL300" i="1"/>
  <c r="BM300" i="1"/>
  <c r="BP300" i="1"/>
  <c r="BR300" i="1"/>
  <c r="I301" i="1"/>
  <c r="J301" i="1"/>
  <c r="K301" i="1"/>
  <c r="L301" i="1"/>
  <c r="M301" i="1"/>
  <c r="N301" i="1"/>
  <c r="O301" i="1"/>
  <c r="P301" i="1"/>
  <c r="Q301" i="1"/>
  <c r="R301" i="1"/>
  <c r="S301" i="1"/>
  <c r="T301" i="1"/>
  <c r="U301" i="1"/>
  <c r="V301" i="1"/>
  <c r="W301" i="1"/>
  <c r="X301" i="1"/>
  <c r="Y301" i="1"/>
  <c r="Z301" i="1"/>
  <c r="AA301" i="1"/>
  <c r="AB301" i="1"/>
  <c r="AC301" i="1"/>
  <c r="AD301" i="1"/>
  <c r="AE301" i="1"/>
  <c r="AF301" i="1"/>
  <c r="AG301" i="1"/>
  <c r="AH301" i="1"/>
  <c r="AI301" i="1"/>
  <c r="AP301" i="1"/>
  <c r="AQ301" i="1"/>
  <c r="AR301" i="1"/>
  <c r="AS301" i="1"/>
  <c r="AU301" i="1"/>
  <c r="AV301" i="1"/>
  <c r="AX301" i="1"/>
  <c r="BK301" i="1"/>
  <c r="BL301" i="1"/>
  <c r="BM301" i="1"/>
  <c r="BP301" i="1"/>
  <c r="BR301" i="1"/>
  <c r="I302" i="1"/>
  <c r="J302" i="1"/>
  <c r="K302" i="1"/>
  <c r="L302" i="1"/>
  <c r="M302" i="1"/>
  <c r="N302" i="1"/>
  <c r="O302" i="1"/>
  <c r="P302" i="1"/>
  <c r="Q302" i="1"/>
  <c r="R302" i="1"/>
  <c r="S302" i="1"/>
  <c r="T302" i="1"/>
  <c r="U302" i="1"/>
  <c r="V302" i="1"/>
  <c r="W302" i="1"/>
  <c r="X302" i="1"/>
  <c r="Y302" i="1"/>
  <c r="Z302" i="1"/>
  <c r="AA302" i="1"/>
  <c r="AB302" i="1"/>
  <c r="AC302" i="1"/>
  <c r="AD302" i="1"/>
  <c r="AE302" i="1"/>
  <c r="AF302" i="1"/>
  <c r="AG302" i="1"/>
  <c r="AH302" i="1"/>
  <c r="AI302" i="1"/>
  <c r="AP302" i="1"/>
  <c r="AQ302" i="1"/>
  <c r="AR302" i="1"/>
  <c r="AS302" i="1"/>
  <c r="AU302" i="1"/>
  <c r="AV302" i="1"/>
  <c r="AX302" i="1"/>
  <c r="BJ302" i="1"/>
  <c r="BK302" i="1"/>
  <c r="BL302" i="1"/>
  <c r="BM302" i="1"/>
  <c r="BP302" i="1"/>
  <c r="BR302" i="1"/>
  <c r="I303" i="1"/>
  <c r="J303" i="1"/>
  <c r="K303" i="1"/>
  <c r="L303" i="1"/>
  <c r="M303" i="1"/>
  <c r="N303" i="1"/>
  <c r="O303" i="1"/>
  <c r="P303" i="1"/>
  <c r="Q303" i="1"/>
  <c r="R303" i="1"/>
  <c r="S303" i="1"/>
  <c r="T303" i="1"/>
  <c r="U303" i="1"/>
  <c r="V303" i="1"/>
  <c r="W303" i="1"/>
  <c r="X303" i="1"/>
  <c r="Y303" i="1"/>
  <c r="Z303" i="1"/>
  <c r="AA303" i="1"/>
  <c r="AB303" i="1"/>
  <c r="AC303" i="1"/>
  <c r="AD303" i="1"/>
  <c r="AE303" i="1"/>
  <c r="AF303" i="1"/>
  <c r="AG303" i="1"/>
  <c r="AH303" i="1"/>
  <c r="AI303" i="1"/>
  <c r="AP303" i="1"/>
  <c r="AQ303" i="1"/>
  <c r="AR303" i="1"/>
  <c r="AS303" i="1"/>
  <c r="AU303" i="1"/>
  <c r="AV303" i="1"/>
  <c r="AX303" i="1"/>
  <c r="BK303" i="1"/>
  <c r="BL303" i="1"/>
  <c r="BM303" i="1"/>
  <c r="BP303" i="1"/>
  <c r="BR303" i="1"/>
  <c r="I304" i="1"/>
  <c r="J304" i="1"/>
  <c r="K304" i="1"/>
  <c r="L304" i="1"/>
  <c r="M304" i="1"/>
  <c r="N304" i="1"/>
  <c r="O304" i="1"/>
  <c r="P304" i="1"/>
  <c r="Q304" i="1"/>
  <c r="R304" i="1"/>
  <c r="S304" i="1"/>
  <c r="T304" i="1"/>
  <c r="U304" i="1"/>
  <c r="V304" i="1"/>
  <c r="W304" i="1"/>
  <c r="X304" i="1"/>
  <c r="Y304" i="1"/>
  <c r="Z304" i="1"/>
  <c r="AA304" i="1"/>
  <c r="AB304" i="1"/>
  <c r="AC304" i="1"/>
  <c r="AD304" i="1"/>
  <c r="AE304" i="1"/>
  <c r="AF304" i="1"/>
  <c r="AG304" i="1"/>
  <c r="AH304" i="1"/>
  <c r="AI304" i="1"/>
  <c r="AP304" i="1"/>
  <c r="AQ304" i="1"/>
  <c r="AR304" i="1"/>
  <c r="AS304" i="1"/>
  <c r="AU304" i="1"/>
  <c r="AV304" i="1"/>
  <c r="AX304" i="1"/>
  <c r="BK304" i="1"/>
  <c r="BL304" i="1"/>
  <c r="BM304" i="1"/>
  <c r="BP304" i="1"/>
  <c r="BR304" i="1"/>
  <c r="I305" i="1"/>
  <c r="J305" i="1"/>
  <c r="K305" i="1"/>
  <c r="L305" i="1"/>
  <c r="M305" i="1"/>
  <c r="N305" i="1"/>
  <c r="O305" i="1"/>
  <c r="P305" i="1"/>
  <c r="Q305" i="1"/>
  <c r="R305" i="1"/>
  <c r="S305" i="1"/>
  <c r="T305" i="1"/>
  <c r="U305" i="1"/>
  <c r="V305" i="1"/>
  <c r="W305" i="1"/>
  <c r="X305" i="1"/>
  <c r="Y305" i="1"/>
  <c r="Z305" i="1"/>
  <c r="AA305" i="1"/>
  <c r="AB305" i="1"/>
  <c r="AC305" i="1"/>
  <c r="AD305" i="1"/>
  <c r="AE305" i="1"/>
  <c r="AF305" i="1"/>
  <c r="AG305" i="1"/>
  <c r="AH305" i="1"/>
  <c r="AI305" i="1"/>
  <c r="AP305" i="1"/>
  <c r="AQ305" i="1"/>
  <c r="AR305" i="1"/>
  <c r="AS305" i="1"/>
  <c r="AU305" i="1"/>
  <c r="AV305" i="1"/>
  <c r="AX305" i="1"/>
  <c r="BK305" i="1"/>
  <c r="BL305" i="1"/>
  <c r="BM305" i="1"/>
  <c r="BP305" i="1"/>
  <c r="BR305" i="1"/>
  <c r="I295" i="1"/>
  <c r="J295" i="1"/>
  <c r="K295" i="1"/>
  <c r="L295" i="1"/>
  <c r="M295" i="1"/>
  <c r="N295" i="1"/>
  <c r="O295" i="1"/>
  <c r="P295" i="1"/>
  <c r="Q295" i="1"/>
  <c r="R295" i="1"/>
  <c r="S295" i="1"/>
  <c r="T295" i="1"/>
  <c r="U295" i="1"/>
  <c r="V295" i="1"/>
  <c r="W295" i="1"/>
  <c r="X295" i="1"/>
  <c r="Y295" i="1"/>
  <c r="Z295" i="1"/>
  <c r="AA295" i="1"/>
  <c r="AB295" i="1"/>
  <c r="AC295" i="1"/>
  <c r="AD295" i="1"/>
  <c r="AE295" i="1"/>
  <c r="AF295" i="1"/>
  <c r="AG295" i="1"/>
  <c r="AH295" i="1"/>
  <c r="AI295" i="1"/>
  <c r="AP295" i="1"/>
  <c r="AQ295" i="1"/>
  <c r="AR295" i="1"/>
  <c r="AS295" i="1"/>
  <c r="AU295" i="1"/>
  <c r="AV295" i="1"/>
  <c r="AX295" i="1"/>
  <c r="BK295" i="1"/>
  <c r="BL295" i="1"/>
  <c r="BM295" i="1"/>
  <c r="BP295" i="1"/>
  <c r="BR295" i="1"/>
  <c r="I306" i="1"/>
  <c r="J306" i="1"/>
  <c r="K306" i="1"/>
  <c r="L306" i="1"/>
  <c r="M306" i="1"/>
  <c r="N306" i="1"/>
  <c r="O306" i="1"/>
  <c r="P306" i="1"/>
  <c r="Q306" i="1"/>
  <c r="R306" i="1"/>
  <c r="S306" i="1"/>
  <c r="T306" i="1"/>
  <c r="U306" i="1"/>
  <c r="V306" i="1"/>
  <c r="W306" i="1"/>
  <c r="X306" i="1"/>
  <c r="Y306" i="1"/>
  <c r="Z306" i="1"/>
  <c r="AA306" i="1"/>
  <c r="AB306" i="1"/>
  <c r="AC306" i="1"/>
  <c r="AD306" i="1"/>
  <c r="AE306" i="1"/>
  <c r="AF306" i="1"/>
  <c r="AG306" i="1"/>
  <c r="AH306" i="1"/>
  <c r="AI306" i="1"/>
  <c r="AP306" i="1"/>
  <c r="AQ306" i="1"/>
  <c r="AR306" i="1"/>
  <c r="AS306" i="1"/>
  <c r="AU306" i="1"/>
  <c r="AV306" i="1"/>
  <c r="AX306" i="1"/>
  <c r="BK306" i="1"/>
  <c r="BL306" i="1"/>
  <c r="BM306" i="1"/>
  <c r="BP306" i="1"/>
  <c r="BR306" i="1"/>
  <c r="I307" i="1"/>
  <c r="J307" i="1"/>
  <c r="K307" i="1"/>
  <c r="L307" i="1"/>
  <c r="M307" i="1"/>
  <c r="N307" i="1"/>
  <c r="O307" i="1"/>
  <c r="P307" i="1"/>
  <c r="Q307" i="1"/>
  <c r="R307" i="1"/>
  <c r="S307" i="1"/>
  <c r="T307" i="1"/>
  <c r="U307" i="1"/>
  <c r="V307" i="1"/>
  <c r="W307" i="1"/>
  <c r="X307" i="1"/>
  <c r="Y307" i="1"/>
  <c r="Z307" i="1"/>
  <c r="AA307" i="1"/>
  <c r="AB307" i="1"/>
  <c r="AC307" i="1"/>
  <c r="AD307" i="1"/>
  <c r="AE307" i="1"/>
  <c r="AF307" i="1"/>
  <c r="AG307" i="1"/>
  <c r="AH307" i="1"/>
  <c r="AI307" i="1"/>
  <c r="AP307" i="1"/>
  <c r="AQ307" i="1"/>
  <c r="AR307" i="1"/>
  <c r="AS307" i="1"/>
  <c r="AU307" i="1"/>
  <c r="AV307" i="1"/>
  <c r="AX307" i="1"/>
  <c r="BK307" i="1"/>
  <c r="BL307" i="1"/>
  <c r="BM307" i="1"/>
  <c r="BP307" i="1"/>
  <c r="BR307" i="1"/>
  <c r="I296" i="1"/>
  <c r="J296" i="1"/>
  <c r="K296" i="1"/>
  <c r="L296" i="1"/>
  <c r="M296" i="1"/>
  <c r="N296" i="1"/>
  <c r="O296" i="1"/>
  <c r="P296" i="1"/>
  <c r="Q296" i="1"/>
  <c r="R296" i="1"/>
  <c r="S296" i="1"/>
  <c r="T296" i="1"/>
  <c r="U296" i="1"/>
  <c r="V296" i="1"/>
  <c r="W296" i="1"/>
  <c r="X296" i="1"/>
  <c r="Y296" i="1"/>
  <c r="Z296" i="1"/>
  <c r="AA296" i="1"/>
  <c r="AB296" i="1"/>
  <c r="AC296" i="1"/>
  <c r="AD296" i="1"/>
  <c r="AE296" i="1"/>
  <c r="AF296" i="1"/>
  <c r="AG296" i="1"/>
  <c r="AH296" i="1"/>
  <c r="AI296" i="1"/>
  <c r="AP296" i="1"/>
  <c r="AQ296" i="1"/>
  <c r="AR296" i="1"/>
  <c r="AS296" i="1"/>
  <c r="AU296" i="1"/>
  <c r="AV296" i="1"/>
  <c r="AX296" i="1"/>
  <c r="BK296" i="1"/>
  <c r="BL296" i="1"/>
  <c r="BM296" i="1"/>
  <c r="BP296" i="1"/>
  <c r="BR296" i="1"/>
  <c r="I289" i="1"/>
  <c r="J289" i="1"/>
  <c r="K289" i="1"/>
  <c r="L289" i="1"/>
  <c r="M289" i="1"/>
  <c r="N289" i="1"/>
  <c r="O289" i="1"/>
  <c r="P289" i="1"/>
  <c r="Q289" i="1"/>
  <c r="R289" i="1"/>
  <c r="S289" i="1"/>
  <c r="T289" i="1"/>
  <c r="U289" i="1"/>
  <c r="V289" i="1"/>
  <c r="W289" i="1"/>
  <c r="X289" i="1"/>
  <c r="Y289" i="1"/>
  <c r="Z289" i="1"/>
  <c r="AA289" i="1"/>
  <c r="AB289" i="1"/>
  <c r="AC289" i="1"/>
  <c r="AD289" i="1"/>
  <c r="AE289" i="1"/>
  <c r="AF289" i="1"/>
  <c r="AG289" i="1"/>
  <c r="AH289" i="1"/>
  <c r="AI289" i="1"/>
  <c r="AP289" i="1"/>
  <c r="AQ289" i="1"/>
  <c r="AR289" i="1"/>
  <c r="AS289" i="1"/>
  <c r="AU289" i="1"/>
  <c r="AV289" i="1"/>
  <c r="AX289" i="1"/>
  <c r="BK289" i="1"/>
  <c r="BL289" i="1"/>
  <c r="BM289" i="1"/>
  <c r="BP289" i="1"/>
  <c r="BR289" i="1"/>
  <c r="I290" i="1"/>
  <c r="J290" i="1"/>
  <c r="K290" i="1"/>
  <c r="L290" i="1"/>
  <c r="M290" i="1"/>
  <c r="N290" i="1"/>
  <c r="O290" i="1"/>
  <c r="P290" i="1"/>
  <c r="Q290" i="1"/>
  <c r="R290" i="1"/>
  <c r="S290" i="1"/>
  <c r="T290" i="1"/>
  <c r="U290" i="1"/>
  <c r="V290" i="1"/>
  <c r="W290" i="1"/>
  <c r="X290" i="1"/>
  <c r="Y290" i="1"/>
  <c r="Z290" i="1"/>
  <c r="AA290" i="1"/>
  <c r="AB290" i="1"/>
  <c r="AC290" i="1"/>
  <c r="AD290" i="1"/>
  <c r="AE290" i="1"/>
  <c r="AF290" i="1"/>
  <c r="AG290" i="1"/>
  <c r="AH290" i="1"/>
  <c r="AI290" i="1"/>
  <c r="AP290" i="1"/>
  <c r="AQ290" i="1"/>
  <c r="AR290" i="1"/>
  <c r="AS290" i="1"/>
  <c r="AU290" i="1"/>
  <c r="AV290" i="1"/>
  <c r="AX290" i="1"/>
  <c r="BK290" i="1"/>
  <c r="BL290" i="1"/>
  <c r="BM290" i="1"/>
  <c r="BP290" i="1"/>
  <c r="BR290" i="1"/>
  <c r="I291" i="1"/>
  <c r="J291" i="1"/>
  <c r="K291" i="1"/>
  <c r="L291" i="1"/>
  <c r="M291" i="1"/>
  <c r="N291" i="1"/>
  <c r="O291" i="1"/>
  <c r="P291" i="1"/>
  <c r="Q291" i="1"/>
  <c r="R291" i="1"/>
  <c r="S291" i="1"/>
  <c r="T291" i="1"/>
  <c r="U291" i="1"/>
  <c r="V291" i="1"/>
  <c r="W291" i="1"/>
  <c r="X291" i="1"/>
  <c r="Y291" i="1"/>
  <c r="Z291" i="1"/>
  <c r="AA291" i="1"/>
  <c r="AB291" i="1"/>
  <c r="AC291" i="1"/>
  <c r="AD291" i="1"/>
  <c r="AE291" i="1"/>
  <c r="AF291" i="1"/>
  <c r="AG291" i="1"/>
  <c r="AH291" i="1"/>
  <c r="AI291" i="1"/>
  <c r="AP291" i="1"/>
  <c r="AQ291" i="1"/>
  <c r="AR291" i="1"/>
  <c r="AS291" i="1"/>
  <c r="AU291" i="1"/>
  <c r="AV291" i="1"/>
  <c r="AX291" i="1"/>
  <c r="BK291" i="1"/>
  <c r="BL291" i="1"/>
  <c r="BM291" i="1"/>
  <c r="BP291" i="1"/>
  <c r="BR291" i="1"/>
  <c r="I292" i="1"/>
  <c r="J292" i="1"/>
  <c r="K292" i="1"/>
  <c r="L292" i="1"/>
  <c r="M292" i="1"/>
  <c r="N292" i="1"/>
  <c r="O292" i="1"/>
  <c r="P292" i="1"/>
  <c r="Q292" i="1"/>
  <c r="R292" i="1"/>
  <c r="S292" i="1"/>
  <c r="T292" i="1"/>
  <c r="U292" i="1"/>
  <c r="V292" i="1"/>
  <c r="W292" i="1"/>
  <c r="X292" i="1"/>
  <c r="Y292" i="1"/>
  <c r="Z292" i="1"/>
  <c r="AA292" i="1"/>
  <c r="AB292" i="1"/>
  <c r="AC292" i="1"/>
  <c r="AD292" i="1"/>
  <c r="AE292" i="1"/>
  <c r="AF292" i="1"/>
  <c r="AG292" i="1"/>
  <c r="AH292" i="1"/>
  <c r="AI292" i="1"/>
  <c r="AP292" i="1"/>
  <c r="AQ292" i="1"/>
  <c r="AR292" i="1"/>
  <c r="AS292" i="1"/>
  <c r="AU292" i="1"/>
  <c r="AV292" i="1"/>
  <c r="AX292" i="1"/>
  <c r="BK292" i="1"/>
  <c r="BL292" i="1"/>
  <c r="BM292" i="1"/>
  <c r="BP292" i="1"/>
  <c r="BR292" i="1"/>
  <c r="I293" i="1"/>
  <c r="J293" i="1"/>
  <c r="K293" i="1"/>
  <c r="L293" i="1"/>
  <c r="M293" i="1"/>
  <c r="N293" i="1"/>
  <c r="O293" i="1"/>
  <c r="P293" i="1"/>
  <c r="Q293" i="1"/>
  <c r="R293" i="1"/>
  <c r="S293" i="1"/>
  <c r="T293" i="1"/>
  <c r="U293" i="1"/>
  <c r="V293" i="1"/>
  <c r="W293" i="1"/>
  <c r="X293" i="1"/>
  <c r="Y293" i="1"/>
  <c r="Z293" i="1"/>
  <c r="AA293" i="1"/>
  <c r="AB293" i="1"/>
  <c r="AC293" i="1"/>
  <c r="AD293" i="1"/>
  <c r="AE293" i="1"/>
  <c r="AF293" i="1"/>
  <c r="AG293" i="1"/>
  <c r="AH293" i="1"/>
  <c r="AI293" i="1"/>
  <c r="AP293" i="1"/>
  <c r="AQ293" i="1"/>
  <c r="AR293" i="1"/>
  <c r="AS293" i="1"/>
  <c r="AU293" i="1"/>
  <c r="AV293" i="1"/>
  <c r="AX293" i="1"/>
  <c r="BK293" i="1"/>
  <c r="BL293" i="1"/>
  <c r="BM293" i="1"/>
  <c r="BP293" i="1"/>
  <c r="BR293" i="1"/>
  <c r="I294" i="1"/>
  <c r="J294" i="1"/>
  <c r="K294" i="1"/>
  <c r="L294" i="1"/>
  <c r="M294" i="1"/>
  <c r="N294" i="1"/>
  <c r="O294" i="1"/>
  <c r="P294" i="1"/>
  <c r="Q294" i="1"/>
  <c r="R294" i="1"/>
  <c r="S294" i="1"/>
  <c r="T294" i="1"/>
  <c r="U294" i="1"/>
  <c r="V294" i="1"/>
  <c r="W294" i="1"/>
  <c r="X294" i="1"/>
  <c r="Y294" i="1"/>
  <c r="Z294" i="1"/>
  <c r="AA294" i="1"/>
  <c r="AB294" i="1"/>
  <c r="AC294" i="1"/>
  <c r="AD294" i="1"/>
  <c r="AE294" i="1"/>
  <c r="AF294" i="1"/>
  <c r="AG294" i="1"/>
  <c r="AH294" i="1"/>
  <c r="AI294" i="1"/>
  <c r="AP294" i="1"/>
  <c r="AQ294" i="1"/>
  <c r="AR294" i="1"/>
  <c r="AS294" i="1"/>
  <c r="AU294" i="1"/>
  <c r="AV294" i="1"/>
  <c r="BK294" i="1"/>
  <c r="BL294" i="1"/>
  <c r="BM294" i="1"/>
  <c r="BP294" i="1"/>
  <c r="BR294" i="1"/>
  <c r="I278" i="1"/>
  <c r="J278" i="1"/>
  <c r="K278" i="1"/>
  <c r="L278" i="1"/>
  <c r="M278" i="1"/>
  <c r="N278" i="1"/>
  <c r="O278" i="1"/>
  <c r="P278" i="1"/>
  <c r="Q278" i="1"/>
  <c r="R278" i="1"/>
  <c r="S278" i="1"/>
  <c r="T278" i="1"/>
  <c r="U278" i="1"/>
  <c r="V278" i="1"/>
  <c r="W278" i="1"/>
  <c r="X278" i="1"/>
  <c r="Y278" i="1"/>
  <c r="Z278" i="1"/>
  <c r="AA278" i="1"/>
  <c r="AB278" i="1"/>
  <c r="AC278" i="1"/>
  <c r="AD278" i="1"/>
  <c r="AE278" i="1"/>
  <c r="AF278" i="1"/>
  <c r="AG278" i="1"/>
  <c r="AH278" i="1"/>
  <c r="AI278" i="1"/>
  <c r="AP278" i="1"/>
  <c r="AQ278" i="1"/>
  <c r="AR278" i="1"/>
  <c r="AS278" i="1"/>
  <c r="AU278" i="1"/>
  <c r="AV278" i="1"/>
  <c r="AX278" i="1"/>
  <c r="BK278" i="1"/>
  <c r="BL278" i="1"/>
  <c r="BM278" i="1"/>
  <c r="BP278" i="1"/>
  <c r="BR278" i="1"/>
  <c r="I261" i="1"/>
  <c r="J261" i="1"/>
  <c r="K261" i="1"/>
  <c r="L261" i="1"/>
  <c r="M261" i="1"/>
  <c r="N261" i="1"/>
  <c r="O261" i="1"/>
  <c r="P261" i="1"/>
  <c r="Q261" i="1"/>
  <c r="R261" i="1"/>
  <c r="S261" i="1"/>
  <c r="T261" i="1"/>
  <c r="U261" i="1"/>
  <c r="V261" i="1"/>
  <c r="W261" i="1"/>
  <c r="X261" i="1"/>
  <c r="Y261" i="1"/>
  <c r="Z261" i="1"/>
  <c r="AA261" i="1"/>
  <c r="AB261" i="1"/>
  <c r="AC261" i="1"/>
  <c r="AD261" i="1"/>
  <c r="AE261" i="1"/>
  <c r="AF261" i="1"/>
  <c r="AG261" i="1"/>
  <c r="AH261" i="1"/>
  <c r="AI261" i="1"/>
  <c r="AP261" i="1"/>
  <c r="AQ261" i="1"/>
  <c r="AR261" i="1"/>
  <c r="AS261" i="1"/>
  <c r="AU261" i="1"/>
  <c r="AV261" i="1"/>
  <c r="AX261" i="1"/>
  <c r="BK261" i="1"/>
  <c r="BL261" i="1"/>
  <c r="BM261" i="1"/>
  <c r="BP261" i="1"/>
  <c r="BR261" i="1"/>
  <c r="I279" i="1"/>
  <c r="J279" i="1"/>
  <c r="K279" i="1"/>
  <c r="L279" i="1"/>
  <c r="M279" i="1"/>
  <c r="N279" i="1"/>
  <c r="O279" i="1"/>
  <c r="P279" i="1"/>
  <c r="Q279" i="1"/>
  <c r="R279" i="1"/>
  <c r="S279" i="1"/>
  <c r="T279" i="1"/>
  <c r="U279" i="1"/>
  <c r="V279" i="1"/>
  <c r="W279" i="1"/>
  <c r="X279" i="1"/>
  <c r="Y279" i="1"/>
  <c r="Z279" i="1"/>
  <c r="AA279" i="1"/>
  <c r="AB279" i="1"/>
  <c r="AC279" i="1"/>
  <c r="AD279" i="1"/>
  <c r="AE279" i="1"/>
  <c r="AF279" i="1"/>
  <c r="AG279" i="1"/>
  <c r="AH279" i="1"/>
  <c r="AI279" i="1"/>
  <c r="AP279" i="1"/>
  <c r="AQ279" i="1"/>
  <c r="AR279" i="1"/>
  <c r="AS279" i="1"/>
  <c r="AU279" i="1"/>
  <c r="AV279" i="1"/>
  <c r="AX279" i="1"/>
  <c r="BK279" i="1"/>
  <c r="BL279" i="1"/>
  <c r="BM279" i="1"/>
  <c r="BP279" i="1"/>
  <c r="BR279" i="1"/>
  <c r="I280" i="1"/>
  <c r="J280" i="1"/>
  <c r="K280" i="1"/>
  <c r="L280" i="1"/>
  <c r="M280" i="1"/>
  <c r="N280" i="1"/>
  <c r="O280" i="1"/>
  <c r="P280" i="1"/>
  <c r="Q280" i="1"/>
  <c r="R280" i="1"/>
  <c r="S280" i="1"/>
  <c r="T280" i="1"/>
  <c r="U280" i="1"/>
  <c r="V280" i="1"/>
  <c r="W280" i="1"/>
  <c r="X280" i="1"/>
  <c r="Y280" i="1"/>
  <c r="Z280" i="1"/>
  <c r="AA280" i="1"/>
  <c r="AB280" i="1"/>
  <c r="AC280" i="1"/>
  <c r="AD280" i="1"/>
  <c r="AE280" i="1"/>
  <c r="AF280" i="1"/>
  <c r="AG280" i="1"/>
  <c r="AH280" i="1"/>
  <c r="AI280" i="1"/>
  <c r="AP280" i="1"/>
  <c r="AQ280" i="1"/>
  <c r="AR280" i="1"/>
  <c r="AS280" i="1"/>
  <c r="AU280" i="1"/>
  <c r="AV280" i="1"/>
  <c r="AX280" i="1"/>
  <c r="BK280" i="1"/>
  <c r="BL280" i="1"/>
  <c r="BM280" i="1"/>
  <c r="BP280" i="1"/>
  <c r="BR280" i="1"/>
  <c r="I281" i="1"/>
  <c r="J281" i="1"/>
  <c r="K281" i="1"/>
  <c r="L281" i="1"/>
  <c r="M281" i="1"/>
  <c r="N281" i="1"/>
  <c r="O281" i="1"/>
  <c r="P281" i="1"/>
  <c r="Q281" i="1"/>
  <c r="R281" i="1"/>
  <c r="S281" i="1"/>
  <c r="T281" i="1"/>
  <c r="U281" i="1"/>
  <c r="V281" i="1"/>
  <c r="W281" i="1"/>
  <c r="X281" i="1"/>
  <c r="Y281" i="1"/>
  <c r="Z281" i="1"/>
  <c r="AA281" i="1"/>
  <c r="AB281" i="1"/>
  <c r="AC281" i="1"/>
  <c r="AD281" i="1"/>
  <c r="AE281" i="1"/>
  <c r="AF281" i="1"/>
  <c r="AG281" i="1"/>
  <c r="AH281" i="1"/>
  <c r="AI281" i="1"/>
  <c r="AP281" i="1"/>
  <c r="AQ281" i="1"/>
  <c r="AR281" i="1"/>
  <c r="AS281" i="1"/>
  <c r="AU281" i="1"/>
  <c r="AV281" i="1"/>
  <c r="AX281" i="1"/>
  <c r="BK281" i="1"/>
  <c r="BL281" i="1"/>
  <c r="BM281" i="1"/>
  <c r="BP281" i="1"/>
  <c r="BR281" i="1"/>
  <c r="I282" i="1"/>
  <c r="J282" i="1"/>
  <c r="K282" i="1"/>
  <c r="L282" i="1"/>
  <c r="M282" i="1"/>
  <c r="N282" i="1"/>
  <c r="O282" i="1"/>
  <c r="P282" i="1"/>
  <c r="Q282" i="1"/>
  <c r="R282" i="1"/>
  <c r="S282" i="1"/>
  <c r="T282" i="1"/>
  <c r="U282" i="1"/>
  <c r="V282" i="1"/>
  <c r="W282" i="1"/>
  <c r="X282" i="1"/>
  <c r="Y282" i="1"/>
  <c r="Z282" i="1"/>
  <c r="AA282" i="1"/>
  <c r="AB282" i="1"/>
  <c r="AC282" i="1"/>
  <c r="AD282" i="1"/>
  <c r="AE282" i="1"/>
  <c r="AF282" i="1"/>
  <c r="AG282" i="1"/>
  <c r="AH282" i="1"/>
  <c r="AI282" i="1"/>
  <c r="AP282" i="1"/>
  <c r="AQ282" i="1"/>
  <c r="AR282" i="1"/>
  <c r="AS282" i="1"/>
  <c r="AU282" i="1"/>
  <c r="AV282" i="1"/>
  <c r="AX282" i="1"/>
  <c r="BK282" i="1"/>
  <c r="BL282" i="1"/>
  <c r="BM282" i="1"/>
  <c r="BP282" i="1"/>
  <c r="BR282" i="1"/>
  <c r="I283" i="1"/>
  <c r="J283" i="1"/>
  <c r="K283" i="1"/>
  <c r="L283" i="1"/>
  <c r="M283" i="1"/>
  <c r="N283" i="1"/>
  <c r="O283" i="1"/>
  <c r="P283" i="1"/>
  <c r="Q283" i="1"/>
  <c r="R283" i="1"/>
  <c r="S283" i="1"/>
  <c r="T283" i="1"/>
  <c r="U283" i="1"/>
  <c r="V283" i="1"/>
  <c r="W283" i="1"/>
  <c r="X283" i="1"/>
  <c r="Y283" i="1"/>
  <c r="Z283" i="1"/>
  <c r="AA283" i="1"/>
  <c r="AB283" i="1"/>
  <c r="AC283" i="1"/>
  <c r="AD283" i="1"/>
  <c r="AE283" i="1"/>
  <c r="AF283" i="1"/>
  <c r="AG283" i="1"/>
  <c r="AH283" i="1"/>
  <c r="AI283" i="1"/>
  <c r="AP283" i="1"/>
  <c r="AQ283" i="1"/>
  <c r="AR283" i="1"/>
  <c r="AS283" i="1"/>
  <c r="AU283" i="1"/>
  <c r="AV283" i="1"/>
  <c r="AX283" i="1"/>
  <c r="BK283" i="1"/>
  <c r="BL283" i="1"/>
  <c r="BM283" i="1"/>
  <c r="BP283" i="1"/>
  <c r="BR283" i="1"/>
  <c r="I284" i="1"/>
  <c r="J284" i="1"/>
  <c r="K284" i="1"/>
  <c r="L284" i="1"/>
  <c r="M284" i="1"/>
  <c r="N284" i="1"/>
  <c r="O284" i="1"/>
  <c r="P284" i="1"/>
  <c r="Q284" i="1"/>
  <c r="R284" i="1"/>
  <c r="S284" i="1"/>
  <c r="T284" i="1"/>
  <c r="U284" i="1"/>
  <c r="V284" i="1"/>
  <c r="W284" i="1"/>
  <c r="X284" i="1"/>
  <c r="Y284" i="1"/>
  <c r="Z284" i="1"/>
  <c r="AA284" i="1"/>
  <c r="AB284" i="1"/>
  <c r="AC284" i="1"/>
  <c r="AD284" i="1"/>
  <c r="AE284" i="1"/>
  <c r="AF284" i="1"/>
  <c r="AG284" i="1"/>
  <c r="AH284" i="1"/>
  <c r="AI284" i="1"/>
  <c r="AP284" i="1"/>
  <c r="AQ284" i="1"/>
  <c r="AR284" i="1"/>
  <c r="AS284" i="1"/>
  <c r="AU284" i="1"/>
  <c r="AV284" i="1"/>
  <c r="AX284" i="1"/>
  <c r="BK284" i="1"/>
  <c r="BL284" i="1"/>
  <c r="BM284" i="1"/>
  <c r="BP284" i="1"/>
  <c r="BR284" i="1"/>
  <c r="I285" i="1"/>
  <c r="J285" i="1"/>
  <c r="K285" i="1"/>
  <c r="L285" i="1"/>
  <c r="M285" i="1"/>
  <c r="N285" i="1"/>
  <c r="O285" i="1"/>
  <c r="P285" i="1"/>
  <c r="Q285" i="1"/>
  <c r="R285" i="1"/>
  <c r="S285" i="1"/>
  <c r="T285" i="1"/>
  <c r="U285" i="1"/>
  <c r="V285" i="1"/>
  <c r="W285" i="1"/>
  <c r="X285" i="1"/>
  <c r="Y285" i="1"/>
  <c r="Z285" i="1"/>
  <c r="AA285" i="1"/>
  <c r="AB285" i="1"/>
  <c r="AC285" i="1"/>
  <c r="AD285" i="1"/>
  <c r="AE285" i="1"/>
  <c r="AF285" i="1"/>
  <c r="AG285" i="1"/>
  <c r="AH285" i="1"/>
  <c r="AI285" i="1"/>
  <c r="AP285" i="1"/>
  <c r="AQ285" i="1"/>
  <c r="AR285" i="1"/>
  <c r="AS285" i="1"/>
  <c r="AU285" i="1"/>
  <c r="AV285" i="1"/>
  <c r="AX285" i="1"/>
  <c r="BK285" i="1"/>
  <c r="BL285" i="1"/>
  <c r="BM285" i="1"/>
  <c r="BP285" i="1"/>
  <c r="BR285" i="1"/>
  <c r="I286" i="1"/>
  <c r="J286" i="1"/>
  <c r="K286" i="1"/>
  <c r="L286" i="1"/>
  <c r="M286" i="1"/>
  <c r="N286" i="1"/>
  <c r="O286" i="1"/>
  <c r="P286" i="1"/>
  <c r="Q286" i="1"/>
  <c r="R286" i="1"/>
  <c r="S286" i="1"/>
  <c r="T286" i="1"/>
  <c r="U286" i="1"/>
  <c r="V286" i="1"/>
  <c r="W286" i="1"/>
  <c r="X286" i="1"/>
  <c r="Y286" i="1"/>
  <c r="Z286" i="1"/>
  <c r="AA286" i="1"/>
  <c r="AB286" i="1"/>
  <c r="AC286" i="1"/>
  <c r="AD286" i="1"/>
  <c r="AE286" i="1"/>
  <c r="AF286" i="1"/>
  <c r="AG286" i="1"/>
  <c r="AH286" i="1"/>
  <c r="AI286" i="1"/>
  <c r="AP286" i="1"/>
  <c r="AQ286" i="1"/>
  <c r="AR286" i="1"/>
  <c r="AS286" i="1"/>
  <c r="AU286" i="1"/>
  <c r="AV286" i="1"/>
  <c r="AX286" i="1"/>
  <c r="BK286" i="1"/>
  <c r="BL286" i="1"/>
  <c r="BM286" i="1"/>
  <c r="BP286" i="1"/>
  <c r="BR286" i="1"/>
  <c r="I287" i="1"/>
  <c r="J287" i="1"/>
  <c r="K287" i="1"/>
  <c r="L287" i="1"/>
  <c r="M287" i="1"/>
  <c r="N287" i="1"/>
  <c r="O287" i="1"/>
  <c r="P287" i="1"/>
  <c r="Q287" i="1"/>
  <c r="R287" i="1"/>
  <c r="S287" i="1"/>
  <c r="T287" i="1"/>
  <c r="U287" i="1"/>
  <c r="V287" i="1"/>
  <c r="W287" i="1"/>
  <c r="X287" i="1"/>
  <c r="Y287" i="1"/>
  <c r="Z287" i="1"/>
  <c r="AA287" i="1"/>
  <c r="AB287" i="1"/>
  <c r="AC287" i="1"/>
  <c r="AD287" i="1"/>
  <c r="AE287" i="1"/>
  <c r="AF287" i="1"/>
  <c r="AG287" i="1"/>
  <c r="AH287" i="1"/>
  <c r="AI287" i="1"/>
  <c r="AP287" i="1"/>
  <c r="AQ287" i="1"/>
  <c r="AR287" i="1"/>
  <c r="AS287" i="1"/>
  <c r="AU287" i="1"/>
  <c r="AV287" i="1"/>
  <c r="AX287" i="1"/>
  <c r="BK287" i="1"/>
  <c r="BL287" i="1"/>
  <c r="BM287" i="1"/>
  <c r="BP287" i="1"/>
  <c r="BR287" i="1"/>
  <c r="I288" i="1"/>
  <c r="J288" i="1"/>
  <c r="K288" i="1"/>
  <c r="L288" i="1"/>
  <c r="M288" i="1"/>
  <c r="N288" i="1"/>
  <c r="O288" i="1"/>
  <c r="P288" i="1"/>
  <c r="Q288" i="1"/>
  <c r="R288" i="1"/>
  <c r="S288" i="1"/>
  <c r="T288" i="1"/>
  <c r="U288" i="1"/>
  <c r="V288" i="1"/>
  <c r="W288" i="1"/>
  <c r="X288" i="1"/>
  <c r="Y288" i="1"/>
  <c r="Z288" i="1"/>
  <c r="AA288" i="1"/>
  <c r="AB288" i="1"/>
  <c r="AC288" i="1"/>
  <c r="AD288" i="1"/>
  <c r="AE288" i="1"/>
  <c r="AF288" i="1"/>
  <c r="AG288" i="1"/>
  <c r="AH288" i="1"/>
  <c r="AI288" i="1"/>
  <c r="AP288" i="1"/>
  <c r="AQ288" i="1"/>
  <c r="AR288" i="1"/>
  <c r="AS288" i="1"/>
  <c r="AU288" i="1"/>
  <c r="AV288" i="1"/>
  <c r="AX288" i="1"/>
  <c r="BK288" i="1"/>
  <c r="BL288" i="1"/>
  <c r="BM288" i="1"/>
  <c r="BP288" i="1"/>
  <c r="BR288" i="1"/>
  <c r="I273" i="1"/>
  <c r="J273" i="1"/>
  <c r="K273" i="1"/>
  <c r="L273" i="1"/>
  <c r="M273" i="1"/>
  <c r="N273" i="1"/>
  <c r="O273" i="1"/>
  <c r="P273" i="1"/>
  <c r="Q273" i="1"/>
  <c r="R273" i="1"/>
  <c r="S273" i="1"/>
  <c r="T273" i="1"/>
  <c r="U273" i="1"/>
  <c r="V273" i="1"/>
  <c r="W273" i="1"/>
  <c r="X273" i="1"/>
  <c r="Y273" i="1"/>
  <c r="Z273" i="1"/>
  <c r="AA273" i="1"/>
  <c r="AB273" i="1"/>
  <c r="AC273" i="1"/>
  <c r="AD273" i="1"/>
  <c r="AE273" i="1"/>
  <c r="AF273" i="1"/>
  <c r="AG273" i="1"/>
  <c r="AH273" i="1"/>
  <c r="AI273" i="1"/>
  <c r="AP273" i="1"/>
  <c r="AQ273" i="1"/>
  <c r="AR273" i="1"/>
  <c r="AS273" i="1"/>
  <c r="AU273" i="1"/>
  <c r="AV273" i="1"/>
  <c r="AX273" i="1"/>
  <c r="BK273" i="1"/>
  <c r="BL273" i="1"/>
  <c r="BM273" i="1"/>
  <c r="BP273" i="1"/>
  <c r="BR273" i="1"/>
  <c r="I274" i="1"/>
  <c r="J274" i="1"/>
  <c r="K274" i="1"/>
  <c r="L274" i="1"/>
  <c r="M274" i="1"/>
  <c r="N274" i="1"/>
  <c r="O274" i="1"/>
  <c r="P274" i="1"/>
  <c r="Q274" i="1"/>
  <c r="R274" i="1"/>
  <c r="S274" i="1"/>
  <c r="T274" i="1"/>
  <c r="U274" i="1"/>
  <c r="V274" i="1"/>
  <c r="W274" i="1"/>
  <c r="X274" i="1"/>
  <c r="Y274" i="1"/>
  <c r="Z274" i="1"/>
  <c r="AA274" i="1"/>
  <c r="AB274" i="1"/>
  <c r="AC274" i="1"/>
  <c r="AD274" i="1"/>
  <c r="AE274" i="1"/>
  <c r="AF274" i="1"/>
  <c r="AG274" i="1"/>
  <c r="AH274" i="1"/>
  <c r="AI274" i="1"/>
  <c r="AP274" i="1"/>
  <c r="AQ274" i="1"/>
  <c r="AR274" i="1"/>
  <c r="AS274" i="1"/>
  <c r="AU274" i="1"/>
  <c r="AV274" i="1"/>
  <c r="AX274" i="1"/>
  <c r="BK274" i="1"/>
  <c r="BL274" i="1"/>
  <c r="BM274" i="1"/>
  <c r="BP274" i="1"/>
  <c r="BR274" i="1"/>
  <c r="I275" i="1"/>
  <c r="J275" i="1"/>
  <c r="K275" i="1"/>
  <c r="L275" i="1"/>
  <c r="M275" i="1"/>
  <c r="N275" i="1"/>
  <c r="O275" i="1"/>
  <c r="P275" i="1"/>
  <c r="Q275" i="1"/>
  <c r="R275" i="1"/>
  <c r="S275" i="1"/>
  <c r="T275" i="1"/>
  <c r="U275" i="1"/>
  <c r="V275" i="1"/>
  <c r="W275" i="1"/>
  <c r="X275" i="1"/>
  <c r="Y275" i="1"/>
  <c r="Z275" i="1"/>
  <c r="AA275" i="1"/>
  <c r="AB275" i="1"/>
  <c r="AC275" i="1"/>
  <c r="AD275" i="1"/>
  <c r="AE275" i="1"/>
  <c r="AF275" i="1"/>
  <c r="AG275" i="1"/>
  <c r="AH275" i="1"/>
  <c r="AI275" i="1"/>
  <c r="AP275" i="1"/>
  <c r="AQ275" i="1"/>
  <c r="AR275" i="1"/>
  <c r="AS275" i="1"/>
  <c r="AU275" i="1"/>
  <c r="AV275" i="1"/>
  <c r="AX275" i="1"/>
  <c r="BK275" i="1"/>
  <c r="BL275" i="1"/>
  <c r="BM275" i="1"/>
  <c r="BP275" i="1"/>
  <c r="BR275" i="1"/>
  <c r="I276" i="1"/>
  <c r="J276" i="1"/>
  <c r="K276" i="1"/>
  <c r="L276" i="1"/>
  <c r="M276" i="1"/>
  <c r="N276" i="1"/>
  <c r="O276" i="1"/>
  <c r="P276" i="1"/>
  <c r="Q276" i="1"/>
  <c r="R276" i="1"/>
  <c r="S276" i="1"/>
  <c r="T276" i="1"/>
  <c r="U276" i="1"/>
  <c r="V276" i="1"/>
  <c r="W276" i="1"/>
  <c r="X276" i="1"/>
  <c r="Y276" i="1"/>
  <c r="Z276" i="1"/>
  <c r="AA276" i="1"/>
  <c r="AB276" i="1"/>
  <c r="AC276" i="1"/>
  <c r="AD276" i="1"/>
  <c r="AE276" i="1"/>
  <c r="AF276" i="1"/>
  <c r="AG276" i="1"/>
  <c r="AH276" i="1"/>
  <c r="AI276" i="1"/>
  <c r="AP276" i="1"/>
  <c r="AQ276" i="1"/>
  <c r="AR276" i="1"/>
  <c r="AS276" i="1"/>
  <c r="AU276" i="1"/>
  <c r="AV276" i="1"/>
  <c r="AX276" i="1"/>
  <c r="BK276" i="1"/>
  <c r="BL276" i="1"/>
  <c r="BM276" i="1"/>
  <c r="BP276" i="1"/>
  <c r="BR276" i="1"/>
  <c r="I277" i="1"/>
  <c r="J277" i="1"/>
  <c r="K277" i="1"/>
  <c r="L277" i="1"/>
  <c r="M277" i="1"/>
  <c r="N277" i="1"/>
  <c r="O277" i="1"/>
  <c r="P277" i="1"/>
  <c r="Q277" i="1"/>
  <c r="R277" i="1"/>
  <c r="S277" i="1"/>
  <c r="T277" i="1"/>
  <c r="U277" i="1"/>
  <c r="V277" i="1"/>
  <c r="W277" i="1"/>
  <c r="X277" i="1"/>
  <c r="Y277" i="1"/>
  <c r="Z277" i="1"/>
  <c r="AA277" i="1"/>
  <c r="AB277" i="1"/>
  <c r="AC277" i="1"/>
  <c r="AD277" i="1"/>
  <c r="AE277" i="1"/>
  <c r="AF277" i="1"/>
  <c r="AG277" i="1"/>
  <c r="AH277" i="1"/>
  <c r="AI277" i="1"/>
  <c r="AP277" i="1"/>
  <c r="AQ277" i="1"/>
  <c r="AR277" i="1"/>
  <c r="AS277" i="1"/>
  <c r="AU277" i="1"/>
  <c r="AV277" i="1"/>
  <c r="AX277" i="1"/>
  <c r="BK277" i="1"/>
  <c r="BL277" i="1"/>
  <c r="BM277" i="1"/>
  <c r="BP277" i="1"/>
  <c r="BR277" i="1"/>
  <c r="I270" i="1"/>
  <c r="J270" i="1"/>
  <c r="K270" i="1"/>
  <c r="L270" i="1"/>
  <c r="M270" i="1"/>
  <c r="N270" i="1"/>
  <c r="O270" i="1"/>
  <c r="P270" i="1"/>
  <c r="Q270" i="1"/>
  <c r="R270" i="1"/>
  <c r="S270" i="1"/>
  <c r="T270" i="1"/>
  <c r="U270" i="1"/>
  <c r="V270" i="1"/>
  <c r="W270" i="1"/>
  <c r="X270" i="1"/>
  <c r="Y270" i="1"/>
  <c r="Z270" i="1"/>
  <c r="AA270" i="1"/>
  <c r="AB270" i="1"/>
  <c r="AC270" i="1"/>
  <c r="AD270" i="1"/>
  <c r="AE270" i="1"/>
  <c r="AF270" i="1"/>
  <c r="AG270" i="1"/>
  <c r="AH270" i="1"/>
  <c r="AI270" i="1"/>
  <c r="AP270" i="1"/>
  <c r="AQ270" i="1"/>
  <c r="AR270" i="1"/>
  <c r="AS270" i="1"/>
  <c r="AU270" i="1"/>
  <c r="AV270" i="1"/>
  <c r="AX270" i="1"/>
  <c r="BK270" i="1"/>
  <c r="BL270" i="1"/>
  <c r="BM270" i="1"/>
  <c r="BP270" i="1"/>
  <c r="BR270" i="1"/>
  <c r="I271" i="1"/>
  <c r="J271" i="1"/>
  <c r="K271" i="1"/>
  <c r="L271" i="1"/>
  <c r="M271" i="1"/>
  <c r="N271" i="1"/>
  <c r="O271" i="1"/>
  <c r="P271" i="1"/>
  <c r="Q271" i="1"/>
  <c r="R271" i="1"/>
  <c r="S271" i="1"/>
  <c r="T271" i="1"/>
  <c r="U271" i="1"/>
  <c r="V271" i="1"/>
  <c r="W271" i="1"/>
  <c r="X271" i="1"/>
  <c r="Y271" i="1"/>
  <c r="Z271" i="1"/>
  <c r="AA271" i="1"/>
  <c r="AB271" i="1"/>
  <c r="AC271" i="1"/>
  <c r="AD271" i="1"/>
  <c r="AE271" i="1"/>
  <c r="AF271" i="1"/>
  <c r="AG271" i="1"/>
  <c r="AH271" i="1"/>
  <c r="AI271" i="1"/>
  <c r="AP271" i="1"/>
  <c r="AQ271" i="1"/>
  <c r="AR271" i="1"/>
  <c r="AS271" i="1"/>
  <c r="AU271" i="1"/>
  <c r="AV271" i="1"/>
  <c r="AX271" i="1"/>
  <c r="BK271" i="1"/>
  <c r="BL271" i="1"/>
  <c r="BM271" i="1"/>
  <c r="BP271" i="1"/>
  <c r="BR271" i="1"/>
  <c r="I272" i="1"/>
  <c r="J272" i="1"/>
  <c r="K272" i="1"/>
  <c r="L272" i="1"/>
  <c r="M272" i="1"/>
  <c r="N272" i="1"/>
  <c r="O272" i="1"/>
  <c r="P272" i="1"/>
  <c r="Q272" i="1"/>
  <c r="R272" i="1"/>
  <c r="S272" i="1"/>
  <c r="T272" i="1"/>
  <c r="U272" i="1"/>
  <c r="V272" i="1"/>
  <c r="W272" i="1"/>
  <c r="X272" i="1"/>
  <c r="Y272" i="1"/>
  <c r="Z272" i="1"/>
  <c r="AA272" i="1"/>
  <c r="AB272" i="1"/>
  <c r="AC272" i="1"/>
  <c r="AD272" i="1"/>
  <c r="AE272" i="1"/>
  <c r="AF272" i="1"/>
  <c r="AG272" i="1"/>
  <c r="AH272" i="1"/>
  <c r="AI272" i="1"/>
  <c r="AP272" i="1"/>
  <c r="AQ272" i="1"/>
  <c r="AR272" i="1"/>
  <c r="AS272" i="1"/>
  <c r="AU272" i="1"/>
  <c r="AV272" i="1"/>
  <c r="AX272" i="1"/>
  <c r="BK272" i="1"/>
  <c r="BL272" i="1"/>
  <c r="BM272" i="1"/>
  <c r="BP272" i="1"/>
  <c r="BR272" i="1"/>
  <c r="I266" i="1"/>
  <c r="J266" i="1"/>
  <c r="K266" i="1"/>
  <c r="L266" i="1"/>
  <c r="M266" i="1"/>
  <c r="N266" i="1"/>
  <c r="O266" i="1"/>
  <c r="P266" i="1"/>
  <c r="Q266" i="1"/>
  <c r="R266" i="1"/>
  <c r="S266" i="1"/>
  <c r="T266" i="1"/>
  <c r="U266" i="1"/>
  <c r="V266" i="1"/>
  <c r="W266" i="1"/>
  <c r="X266" i="1"/>
  <c r="Y266" i="1"/>
  <c r="Z266" i="1"/>
  <c r="AA266" i="1"/>
  <c r="AB266" i="1"/>
  <c r="AC266" i="1"/>
  <c r="AD266" i="1"/>
  <c r="AE266" i="1"/>
  <c r="AF266" i="1"/>
  <c r="AG266" i="1"/>
  <c r="AH266" i="1"/>
  <c r="AI266" i="1"/>
  <c r="AP266" i="1"/>
  <c r="AQ266" i="1"/>
  <c r="AR266" i="1"/>
  <c r="AS266" i="1"/>
  <c r="AU266" i="1"/>
  <c r="AV266" i="1"/>
  <c r="AX266" i="1"/>
  <c r="BK266" i="1"/>
  <c r="BL266" i="1"/>
  <c r="BM266" i="1"/>
  <c r="BP266" i="1"/>
  <c r="BR266" i="1"/>
  <c r="I267" i="1"/>
  <c r="J267" i="1"/>
  <c r="K267" i="1"/>
  <c r="L267" i="1"/>
  <c r="M267" i="1"/>
  <c r="N267" i="1"/>
  <c r="O267" i="1"/>
  <c r="P267" i="1"/>
  <c r="Q267" i="1"/>
  <c r="R267" i="1"/>
  <c r="S267" i="1"/>
  <c r="T267" i="1"/>
  <c r="U267" i="1"/>
  <c r="V267" i="1"/>
  <c r="W267" i="1"/>
  <c r="X267" i="1"/>
  <c r="Y267" i="1"/>
  <c r="Z267" i="1"/>
  <c r="AA267" i="1"/>
  <c r="AB267" i="1"/>
  <c r="AC267" i="1"/>
  <c r="AD267" i="1"/>
  <c r="AE267" i="1"/>
  <c r="AF267" i="1"/>
  <c r="AG267" i="1"/>
  <c r="AH267" i="1"/>
  <c r="AI267" i="1"/>
  <c r="AP267" i="1"/>
  <c r="AQ267" i="1"/>
  <c r="AR267" i="1"/>
  <c r="AS267" i="1"/>
  <c r="AU267" i="1"/>
  <c r="AV267" i="1"/>
  <c r="AX267" i="1"/>
  <c r="BK267" i="1"/>
  <c r="BL267" i="1"/>
  <c r="BM267" i="1"/>
  <c r="BP267" i="1"/>
  <c r="BR267" i="1"/>
  <c r="I268" i="1"/>
  <c r="J268" i="1"/>
  <c r="K268" i="1"/>
  <c r="L268" i="1"/>
  <c r="M268" i="1"/>
  <c r="N268" i="1"/>
  <c r="O268" i="1"/>
  <c r="P268" i="1"/>
  <c r="Q268" i="1"/>
  <c r="R268" i="1"/>
  <c r="S268" i="1"/>
  <c r="T268" i="1"/>
  <c r="U268" i="1"/>
  <c r="V268" i="1"/>
  <c r="W268" i="1"/>
  <c r="X268" i="1"/>
  <c r="Y268" i="1"/>
  <c r="Z268" i="1"/>
  <c r="AA268" i="1"/>
  <c r="AB268" i="1"/>
  <c r="AC268" i="1"/>
  <c r="AD268" i="1"/>
  <c r="AE268" i="1"/>
  <c r="AF268" i="1"/>
  <c r="AG268" i="1"/>
  <c r="AH268" i="1"/>
  <c r="AI268" i="1"/>
  <c r="AP268" i="1"/>
  <c r="AQ268" i="1"/>
  <c r="AR268" i="1"/>
  <c r="AS268" i="1"/>
  <c r="AU268" i="1"/>
  <c r="AV268" i="1"/>
  <c r="AX268" i="1"/>
  <c r="BK268" i="1"/>
  <c r="BL268" i="1"/>
  <c r="BM268" i="1"/>
  <c r="BP268" i="1"/>
  <c r="BR268" i="1"/>
  <c r="I269" i="1"/>
  <c r="J269" i="1"/>
  <c r="K269" i="1"/>
  <c r="L269" i="1"/>
  <c r="M269" i="1"/>
  <c r="N269" i="1"/>
  <c r="O269" i="1"/>
  <c r="P269" i="1"/>
  <c r="Q269" i="1"/>
  <c r="R269" i="1"/>
  <c r="S269" i="1"/>
  <c r="T269" i="1"/>
  <c r="U269" i="1"/>
  <c r="V269" i="1"/>
  <c r="W269" i="1"/>
  <c r="X269" i="1"/>
  <c r="Y269" i="1"/>
  <c r="Z269" i="1"/>
  <c r="AA269" i="1"/>
  <c r="AB269" i="1"/>
  <c r="AC269" i="1"/>
  <c r="AD269" i="1"/>
  <c r="AE269" i="1"/>
  <c r="AF269" i="1"/>
  <c r="AG269" i="1"/>
  <c r="AH269" i="1"/>
  <c r="AI269" i="1"/>
  <c r="AP269" i="1"/>
  <c r="AQ269" i="1"/>
  <c r="AR269" i="1"/>
  <c r="AS269" i="1"/>
  <c r="AU269" i="1"/>
  <c r="AV269" i="1"/>
  <c r="AX269" i="1"/>
  <c r="BK269" i="1"/>
  <c r="BL269" i="1"/>
  <c r="BM269" i="1"/>
  <c r="BP269" i="1"/>
  <c r="BR269" i="1"/>
  <c r="I262" i="1"/>
  <c r="J262" i="1"/>
  <c r="K262" i="1"/>
  <c r="L262" i="1"/>
  <c r="M262" i="1"/>
  <c r="N262" i="1"/>
  <c r="O262" i="1"/>
  <c r="P262" i="1"/>
  <c r="Q262" i="1"/>
  <c r="R262" i="1"/>
  <c r="S262" i="1"/>
  <c r="T262" i="1"/>
  <c r="U262" i="1"/>
  <c r="V262" i="1"/>
  <c r="W262" i="1"/>
  <c r="X262" i="1"/>
  <c r="Y262" i="1"/>
  <c r="Z262" i="1"/>
  <c r="AA262" i="1"/>
  <c r="AB262" i="1"/>
  <c r="AC262" i="1"/>
  <c r="AD262" i="1"/>
  <c r="AE262" i="1"/>
  <c r="AF262" i="1"/>
  <c r="AG262" i="1"/>
  <c r="AH262" i="1"/>
  <c r="AI262" i="1"/>
  <c r="AP262" i="1"/>
  <c r="AQ262" i="1"/>
  <c r="AR262" i="1"/>
  <c r="AS262" i="1"/>
  <c r="AU262" i="1"/>
  <c r="AV262" i="1"/>
  <c r="AX262" i="1"/>
  <c r="BK262" i="1"/>
  <c r="BL262" i="1"/>
  <c r="BM262" i="1"/>
  <c r="BP262" i="1"/>
  <c r="BR262" i="1"/>
  <c r="I263" i="1"/>
  <c r="J263" i="1"/>
  <c r="K263" i="1"/>
  <c r="L263" i="1"/>
  <c r="M263" i="1"/>
  <c r="N263" i="1"/>
  <c r="O263" i="1"/>
  <c r="P263" i="1"/>
  <c r="Q263" i="1"/>
  <c r="R263" i="1"/>
  <c r="S263" i="1"/>
  <c r="T263" i="1"/>
  <c r="U263" i="1"/>
  <c r="V263" i="1"/>
  <c r="W263" i="1"/>
  <c r="X263" i="1"/>
  <c r="Y263" i="1"/>
  <c r="Z263" i="1"/>
  <c r="AA263" i="1"/>
  <c r="AB263" i="1"/>
  <c r="AC263" i="1"/>
  <c r="AD263" i="1"/>
  <c r="AE263" i="1"/>
  <c r="AF263" i="1"/>
  <c r="AG263" i="1"/>
  <c r="AH263" i="1"/>
  <c r="AI263" i="1"/>
  <c r="AP263" i="1"/>
  <c r="AQ263" i="1"/>
  <c r="AR263" i="1"/>
  <c r="AS263" i="1"/>
  <c r="AU263" i="1"/>
  <c r="AV263" i="1"/>
  <c r="AX263" i="1"/>
  <c r="BK263" i="1"/>
  <c r="BL263" i="1"/>
  <c r="BM263" i="1"/>
  <c r="BP263" i="1"/>
  <c r="BR263" i="1"/>
  <c r="I264" i="1"/>
  <c r="J264" i="1"/>
  <c r="K264" i="1"/>
  <c r="L264" i="1"/>
  <c r="M264" i="1"/>
  <c r="N264" i="1"/>
  <c r="O264" i="1"/>
  <c r="P264" i="1"/>
  <c r="Q264" i="1"/>
  <c r="R264" i="1"/>
  <c r="S264" i="1"/>
  <c r="T264" i="1"/>
  <c r="U264" i="1"/>
  <c r="V264" i="1"/>
  <c r="W264" i="1"/>
  <c r="X264" i="1"/>
  <c r="Y264" i="1"/>
  <c r="Z264" i="1"/>
  <c r="AA264" i="1"/>
  <c r="AB264" i="1"/>
  <c r="AC264" i="1"/>
  <c r="AD264" i="1"/>
  <c r="AE264" i="1"/>
  <c r="AF264" i="1"/>
  <c r="AG264" i="1"/>
  <c r="AH264" i="1"/>
  <c r="AI264" i="1"/>
  <c r="AP264" i="1"/>
  <c r="AQ264" i="1"/>
  <c r="AR264" i="1"/>
  <c r="AS264" i="1"/>
  <c r="AU264" i="1"/>
  <c r="AV264" i="1"/>
  <c r="AX264" i="1"/>
  <c r="BK264" i="1"/>
  <c r="BL264" i="1"/>
  <c r="BM264" i="1"/>
  <c r="BP264" i="1"/>
  <c r="BR264" i="1"/>
  <c r="I265" i="1"/>
  <c r="J265" i="1"/>
  <c r="K265" i="1"/>
  <c r="L265" i="1"/>
  <c r="M265" i="1"/>
  <c r="N265" i="1"/>
  <c r="O265" i="1"/>
  <c r="P265" i="1"/>
  <c r="Q265" i="1"/>
  <c r="R265" i="1"/>
  <c r="S265" i="1"/>
  <c r="T265" i="1"/>
  <c r="U265" i="1"/>
  <c r="V265" i="1"/>
  <c r="W265" i="1"/>
  <c r="X265" i="1"/>
  <c r="Y265" i="1"/>
  <c r="Z265" i="1"/>
  <c r="AA265" i="1"/>
  <c r="AB265" i="1"/>
  <c r="AC265" i="1"/>
  <c r="AD265" i="1"/>
  <c r="AE265" i="1"/>
  <c r="AF265" i="1"/>
  <c r="AG265" i="1"/>
  <c r="AH265" i="1"/>
  <c r="AI265" i="1"/>
  <c r="AP265" i="1"/>
  <c r="AQ265" i="1"/>
  <c r="AR265" i="1"/>
  <c r="AS265" i="1"/>
  <c r="AU265" i="1"/>
  <c r="AV265" i="1"/>
  <c r="AX265" i="1"/>
  <c r="BK265" i="1"/>
  <c r="BL265" i="1"/>
  <c r="BM265" i="1"/>
  <c r="BP265" i="1"/>
  <c r="BR265" i="1"/>
  <c r="I256" i="1"/>
  <c r="J256" i="1"/>
  <c r="K256" i="1"/>
  <c r="L256" i="1"/>
  <c r="M256" i="1"/>
  <c r="N256" i="1"/>
  <c r="O256" i="1"/>
  <c r="P256" i="1"/>
  <c r="Q256" i="1"/>
  <c r="R256" i="1"/>
  <c r="S256" i="1"/>
  <c r="T256" i="1"/>
  <c r="U256" i="1"/>
  <c r="V256" i="1"/>
  <c r="W256" i="1"/>
  <c r="X256" i="1"/>
  <c r="Y256" i="1"/>
  <c r="Z256" i="1"/>
  <c r="AA256" i="1"/>
  <c r="AB256" i="1"/>
  <c r="AC256" i="1"/>
  <c r="AD256" i="1"/>
  <c r="AE256" i="1"/>
  <c r="AF256" i="1"/>
  <c r="AG256" i="1"/>
  <c r="AH256" i="1"/>
  <c r="AI256" i="1"/>
  <c r="AP256" i="1"/>
  <c r="AQ256" i="1"/>
  <c r="AR256" i="1"/>
  <c r="AS256" i="1"/>
  <c r="AU256" i="1"/>
  <c r="AV256" i="1"/>
  <c r="AX256" i="1"/>
  <c r="BK256" i="1"/>
  <c r="BL256" i="1"/>
  <c r="BM256" i="1"/>
  <c r="BP256" i="1"/>
  <c r="BR256" i="1"/>
  <c r="I257" i="1"/>
  <c r="J257" i="1"/>
  <c r="K257" i="1"/>
  <c r="L257" i="1"/>
  <c r="M257" i="1"/>
  <c r="N257" i="1"/>
  <c r="O257" i="1"/>
  <c r="P257" i="1"/>
  <c r="Q257" i="1"/>
  <c r="R257" i="1"/>
  <c r="S257" i="1"/>
  <c r="T257" i="1"/>
  <c r="U257" i="1"/>
  <c r="V257" i="1"/>
  <c r="W257" i="1"/>
  <c r="X257" i="1"/>
  <c r="Y257" i="1"/>
  <c r="Z257" i="1"/>
  <c r="AA257" i="1"/>
  <c r="AB257" i="1"/>
  <c r="AC257" i="1"/>
  <c r="AD257" i="1"/>
  <c r="AE257" i="1"/>
  <c r="AF257" i="1"/>
  <c r="AG257" i="1"/>
  <c r="AH257" i="1"/>
  <c r="AI257" i="1"/>
  <c r="AP257" i="1"/>
  <c r="AQ257" i="1"/>
  <c r="AR257" i="1"/>
  <c r="AS257" i="1"/>
  <c r="AU257" i="1"/>
  <c r="AV257" i="1"/>
  <c r="AX257" i="1"/>
  <c r="BK257" i="1"/>
  <c r="BL257" i="1"/>
  <c r="BM257" i="1"/>
  <c r="BP257" i="1"/>
  <c r="BR257" i="1"/>
  <c r="I247" i="1"/>
  <c r="J247" i="1"/>
  <c r="K247" i="1"/>
  <c r="L247" i="1"/>
  <c r="M247" i="1"/>
  <c r="N247" i="1"/>
  <c r="O247" i="1"/>
  <c r="P247" i="1"/>
  <c r="Q247" i="1"/>
  <c r="R247" i="1"/>
  <c r="S247" i="1"/>
  <c r="T247" i="1"/>
  <c r="U247" i="1"/>
  <c r="V247" i="1"/>
  <c r="W247" i="1"/>
  <c r="X247" i="1"/>
  <c r="Y247" i="1"/>
  <c r="Z247" i="1"/>
  <c r="AA247" i="1"/>
  <c r="AB247" i="1"/>
  <c r="AC247" i="1"/>
  <c r="AD247" i="1"/>
  <c r="AE247" i="1"/>
  <c r="AF247" i="1"/>
  <c r="AG247" i="1"/>
  <c r="AH247" i="1"/>
  <c r="AI247" i="1"/>
  <c r="AP247" i="1"/>
  <c r="AQ247" i="1"/>
  <c r="AR247" i="1"/>
  <c r="AS247" i="1"/>
  <c r="AU247" i="1"/>
  <c r="AV247" i="1"/>
  <c r="AX247" i="1"/>
  <c r="BK247" i="1"/>
  <c r="BL247" i="1"/>
  <c r="BM247" i="1"/>
  <c r="BP247" i="1"/>
  <c r="BR247" i="1"/>
  <c r="I234" i="1"/>
  <c r="J234" i="1"/>
  <c r="K234" i="1"/>
  <c r="L234" i="1"/>
  <c r="M234" i="1"/>
  <c r="N234" i="1"/>
  <c r="O234" i="1"/>
  <c r="P234" i="1"/>
  <c r="Q234" i="1"/>
  <c r="R234" i="1"/>
  <c r="S234" i="1"/>
  <c r="T234" i="1"/>
  <c r="U234" i="1"/>
  <c r="V234" i="1"/>
  <c r="W234" i="1"/>
  <c r="X234" i="1"/>
  <c r="Y234" i="1"/>
  <c r="Z234" i="1"/>
  <c r="AA234" i="1"/>
  <c r="AB234" i="1"/>
  <c r="AC234" i="1"/>
  <c r="AD234" i="1"/>
  <c r="AE234" i="1"/>
  <c r="AF234" i="1"/>
  <c r="AG234" i="1"/>
  <c r="AH234" i="1"/>
  <c r="AI234" i="1"/>
  <c r="AP234" i="1"/>
  <c r="AQ234" i="1"/>
  <c r="AR234" i="1"/>
  <c r="AS234" i="1"/>
  <c r="AU234" i="1"/>
  <c r="AV234" i="1"/>
  <c r="AX234" i="1"/>
  <c r="BK234" i="1"/>
  <c r="BL234" i="1"/>
  <c r="BM234" i="1"/>
  <c r="BP234" i="1"/>
  <c r="BR234" i="1"/>
  <c r="I248" i="1"/>
  <c r="J248" i="1"/>
  <c r="K248" i="1"/>
  <c r="L248" i="1"/>
  <c r="M248" i="1"/>
  <c r="N248" i="1"/>
  <c r="O248" i="1"/>
  <c r="P248" i="1"/>
  <c r="Q248" i="1"/>
  <c r="R248" i="1"/>
  <c r="S248" i="1"/>
  <c r="T248" i="1"/>
  <c r="U248" i="1"/>
  <c r="V248" i="1"/>
  <c r="W248" i="1"/>
  <c r="X248" i="1"/>
  <c r="Y248" i="1"/>
  <c r="Z248" i="1"/>
  <c r="AA248" i="1"/>
  <c r="AB248" i="1"/>
  <c r="AC248" i="1"/>
  <c r="AD248" i="1"/>
  <c r="AE248" i="1"/>
  <c r="AF248" i="1"/>
  <c r="AG248" i="1"/>
  <c r="AH248" i="1"/>
  <c r="AI248" i="1"/>
  <c r="AP248" i="1"/>
  <c r="AQ248" i="1"/>
  <c r="AR248" i="1"/>
  <c r="AS248" i="1"/>
  <c r="AU248" i="1"/>
  <c r="AV248" i="1"/>
  <c r="AX248" i="1"/>
  <c r="BK248" i="1"/>
  <c r="BL248" i="1"/>
  <c r="BM248" i="1"/>
  <c r="BP248" i="1"/>
  <c r="BR248" i="1"/>
  <c r="I249" i="1"/>
  <c r="J249" i="1"/>
  <c r="K249" i="1"/>
  <c r="L249" i="1"/>
  <c r="M249" i="1"/>
  <c r="N249" i="1"/>
  <c r="O249" i="1"/>
  <c r="P249" i="1"/>
  <c r="Q249" i="1"/>
  <c r="R249" i="1"/>
  <c r="S249" i="1"/>
  <c r="T249" i="1"/>
  <c r="U249" i="1"/>
  <c r="V249" i="1"/>
  <c r="W249" i="1"/>
  <c r="X249" i="1"/>
  <c r="Y249" i="1"/>
  <c r="Z249" i="1"/>
  <c r="AA249" i="1"/>
  <c r="AB249" i="1"/>
  <c r="AC249" i="1"/>
  <c r="AD249" i="1"/>
  <c r="AE249" i="1"/>
  <c r="AF249" i="1"/>
  <c r="AG249" i="1"/>
  <c r="AH249" i="1"/>
  <c r="AI249" i="1"/>
  <c r="AP249" i="1"/>
  <c r="AQ249" i="1"/>
  <c r="AR249" i="1"/>
  <c r="AS249" i="1"/>
  <c r="AU249" i="1"/>
  <c r="AV249" i="1"/>
  <c r="AX249" i="1"/>
  <c r="BK249" i="1"/>
  <c r="BL249" i="1"/>
  <c r="BM249" i="1"/>
  <c r="BP249" i="1"/>
  <c r="BR249" i="1"/>
  <c r="I235" i="1"/>
  <c r="J235" i="1"/>
  <c r="K235" i="1"/>
  <c r="L235" i="1"/>
  <c r="M235" i="1"/>
  <c r="N235" i="1"/>
  <c r="O235" i="1"/>
  <c r="P235" i="1"/>
  <c r="Q235" i="1"/>
  <c r="R235" i="1"/>
  <c r="S235" i="1"/>
  <c r="T235" i="1"/>
  <c r="U235" i="1"/>
  <c r="V235" i="1"/>
  <c r="W235" i="1"/>
  <c r="X235" i="1"/>
  <c r="Y235" i="1"/>
  <c r="Z235" i="1"/>
  <c r="AA235" i="1"/>
  <c r="AB235" i="1"/>
  <c r="AC235" i="1"/>
  <c r="AD235" i="1"/>
  <c r="AE235" i="1"/>
  <c r="AF235" i="1"/>
  <c r="AG235" i="1"/>
  <c r="AH235" i="1"/>
  <c r="AI235" i="1"/>
  <c r="AP235" i="1"/>
  <c r="AQ235" i="1"/>
  <c r="AR235" i="1"/>
  <c r="AS235" i="1"/>
  <c r="AU235" i="1"/>
  <c r="AV235" i="1"/>
  <c r="AX235" i="1"/>
  <c r="BK235" i="1"/>
  <c r="BL235" i="1"/>
  <c r="BM235" i="1"/>
  <c r="BP235" i="1"/>
  <c r="BR235" i="1"/>
  <c r="I250" i="1"/>
  <c r="J250" i="1"/>
  <c r="K250" i="1"/>
  <c r="L250" i="1"/>
  <c r="M250" i="1"/>
  <c r="N250" i="1"/>
  <c r="O250" i="1"/>
  <c r="P250" i="1"/>
  <c r="Q250" i="1"/>
  <c r="R250" i="1"/>
  <c r="S250" i="1"/>
  <c r="T250" i="1"/>
  <c r="U250" i="1"/>
  <c r="V250" i="1"/>
  <c r="W250" i="1"/>
  <c r="X250" i="1"/>
  <c r="Y250" i="1"/>
  <c r="Z250" i="1"/>
  <c r="AA250" i="1"/>
  <c r="AB250" i="1"/>
  <c r="AC250" i="1"/>
  <c r="AD250" i="1"/>
  <c r="AE250" i="1"/>
  <c r="AF250" i="1"/>
  <c r="AG250" i="1"/>
  <c r="AH250" i="1"/>
  <c r="AI250" i="1"/>
  <c r="AP250" i="1"/>
  <c r="AQ250" i="1"/>
  <c r="AR250" i="1"/>
  <c r="AS250" i="1"/>
  <c r="AU250" i="1"/>
  <c r="AV250" i="1"/>
  <c r="AX250" i="1"/>
  <c r="BK250" i="1"/>
  <c r="BL250" i="1"/>
  <c r="BM250" i="1"/>
  <c r="BP250" i="1"/>
  <c r="BR250" i="1"/>
  <c r="I251" i="1"/>
  <c r="J251" i="1"/>
  <c r="K251" i="1"/>
  <c r="L251" i="1"/>
  <c r="M251" i="1"/>
  <c r="N251" i="1"/>
  <c r="O251" i="1"/>
  <c r="P251" i="1"/>
  <c r="Q251" i="1"/>
  <c r="R251" i="1"/>
  <c r="S251" i="1"/>
  <c r="T251" i="1"/>
  <c r="U251" i="1"/>
  <c r="V251" i="1"/>
  <c r="W251" i="1"/>
  <c r="X251" i="1"/>
  <c r="Y251" i="1"/>
  <c r="Z251" i="1"/>
  <c r="AA251" i="1"/>
  <c r="AB251" i="1"/>
  <c r="AC251" i="1"/>
  <c r="AD251" i="1"/>
  <c r="AE251" i="1"/>
  <c r="AF251" i="1"/>
  <c r="AG251" i="1"/>
  <c r="AH251" i="1"/>
  <c r="AI251" i="1"/>
  <c r="AP251" i="1"/>
  <c r="AQ251" i="1"/>
  <c r="AR251" i="1"/>
  <c r="AS251" i="1"/>
  <c r="AU251" i="1"/>
  <c r="AV251" i="1"/>
  <c r="AX251" i="1"/>
  <c r="BK251" i="1"/>
  <c r="BL251" i="1"/>
  <c r="BM251" i="1"/>
  <c r="BP251" i="1"/>
  <c r="BR251" i="1"/>
  <c r="I252" i="1"/>
  <c r="J252" i="1"/>
  <c r="K252" i="1"/>
  <c r="L252" i="1"/>
  <c r="M252" i="1"/>
  <c r="N252" i="1"/>
  <c r="O252" i="1"/>
  <c r="P252" i="1"/>
  <c r="Q252" i="1"/>
  <c r="R252" i="1"/>
  <c r="S252" i="1"/>
  <c r="T252" i="1"/>
  <c r="U252" i="1"/>
  <c r="V252" i="1"/>
  <c r="W252" i="1"/>
  <c r="X252" i="1"/>
  <c r="Y252" i="1"/>
  <c r="Z252" i="1"/>
  <c r="AA252" i="1"/>
  <c r="AB252" i="1"/>
  <c r="AC252" i="1"/>
  <c r="AD252" i="1"/>
  <c r="AE252" i="1"/>
  <c r="AF252" i="1"/>
  <c r="AG252" i="1"/>
  <c r="AH252" i="1"/>
  <c r="AI252" i="1"/>
  <c r="AP252" i="1"/>
  <c r="AQ252" i="1"/>
  <c r="AR252" i="1"/>
  <c r="AS252" i="1"/>
  <c r="AU252" i="1"/>
  <c r="AV252" i="1"/>
  <c r="AX252" i="1"/>
  <c r="BK252" i="1"/>
  <c r="BL252" i="1"/>
  <c r="BM252" i="1"/>
  <c r="BP252" i="1"/>
  <c r="BR252" i="1"/>
  <c r="I253" i="1"/>
  <c r="J253" i="1"/>
  <c r="K253" i="1"/>
  <c r="L253" i="1"/>
  <c r="M253" i="1"/>
  <c r="N253" i="1"/>
  <c r="O253" i="1"/>
  <c r="P253" i="1"/>
  <c r="Q253" i="1"/>
  <c r="R253" i="1"/>
  <c r="S253" i="1"/>
  <c r="T253" i="1"/>
  <c r="U253" i="1"/>
  <c r="V253" i="1"/>
  <c r="W253" i="1"/>
  <c r="X253" i="1"/>
  <c r="Y253" i="1"/>
  <c r="Z253" i="1"/>
  <c r="AA253" i="1"/>
  <c r="AB253" i="1"/>
  <c r="AC253" i="1"/>
  <c r="AD253" i="1"/>
  <c r="AE253" i="1"/>
  <c r="AF253" i="1"/>
  <c r="AG253" i="1"/>
  <c r="AH253" i="1"/>
  <c r="AI253" i="1"/>
  <c r="AP253" i="1"/>
  <c r="AQ253" i="1"/>
  <c r="AR253" i="1"/>
  <c r="AS253" i="1"/>
  <c r="AU253" i="1"/>
  <c r="AV253" i="1"/>
  <c r="AX253" i="1"/>
  <c r="BK253" i="1"/>
  <c r="BL253" i="1"/>
  <c r="BM253" i="1"/>
  <c r="BP253" i="1"/>
  <c r="BR253" i="1"/>
  <c r="I254" i="1"/>
  <c r="J254" i="1"/>
  <c r="K254" i="1"/>
  <c r="L254" i="1"/>
  <c r="M254" i="1"/>
  <c r="N254" i="1"/>
  <c r="O254" i="1"/>
  <c r="P254" i="1"/>
  <c r="Q254" i="1"/>
  <c r="R254" i="1"/>
  <c r="S254" i="1"/>
  <c r="T254" i="1"/>
  <c r="U254" i="1"/>
  <c r="V254" i="1"/>
  <c r="W254" i="1"/>
  <c r="X254" i="1"/>
  <c r="Y254" i="1"/>
  <c r="Z254" i="1"/>
  <c r="AA254" i="1"/>
  <c r="AB254" i="1"/>
  <c r="AC254" i="1"/>
  <c r="AD254" i="1"/>
  <c r="AE254" i="1"/>
  <c r="AF254" i="1"/>
  <c r="AG254" i="1"/>
  <c r="AH254" i="1"/>
  <c r="AI254" i="1"/>
  <c r="AP254" i="1"/>
  <c r="AQ254" i="1"/>
  <c r="AR254" i="1"/>
  <c r="AS254" i="1"/>
  <c r="AU254" i="1"/>
  <c r="AV254" i="1"/>
  <c r="AX254" i="1"/>
  <c r="BK254" i="1"/>
  <c r="BL254" i="1"/>
  <c r="BM254" i="1"/>
  <c r="BP254" i="1"/>
  <c r="BR254" i="1"/>
  <c r="I255" i="1"/>
  <c r="J255" i="1"/>
  <c r="K255" i="1"/>
  <c r="L255" i="1"/>
  <c r="M255" i="1"/>
  <c r="N255" i="1"/>
  <c r="O255" i="1"/>
  <c r="P255" i="1"/>
  <c r="Q255" i="1"/>
  <c r="R255" i="1"/>
  <c r="S255" i="1"/>
  <c r="T255" i="1"/>
  <c r="U255" i="1"/>
  <c r="V255" i="1"/>
  <c r="W255" i="1"/>
  <c r="X255" i="1"/>
  <c r="Y255" i="1"/>
  <c r="Z255" i="1"/>
  <c r="AA255" i="1"/>
  <c r="AB255" i="1"/>
  <c r="AC255" i="1"/>
  <c r="AD255" i="1"/>
  <c r="AE255" i="1"/>
  <c r="AF255" i="1"/>
  <c r="AG255" i="1"/>
  <c r="AH255" i="1"/>
  <c r="AI255" i="1"/>
  <c r="AP255" i="1"/>
  <c r="AQ255" i="1"/>
  <c r="AR255" i="1"/>
  <c r="AS255" i="1"/>
  <c r="AU255" i="1"/>
  <c r="AV255" i="1"/>
  <c r="AX255" i="1"/>
  <c r="BK255" i="1"/>
  <c r="BL255" i="1"/>
  <c r="BM255" i="1"/>
  <c r="BP255" i="1"/>
  <c r="BR255" i="1"/>
  <c r="I228" i="1"/>
  <c r="J228" i="1"/>
  <c r="K228" i="1"/>
  <c r="L228" i="1"/>
  <c r="M228" i="1"/>
  <c r="N228" i="1"/>
  <c r="O228" i="1"/>
  <c r="P228" i="1"/>
  <c r="Q228" i="1"/>
  <c r="R228" i="1"/>
  <c r="S228" i="1"/>
  <c r="T228" i="1"/>
  <c r="U228" i="1"/>
  <c r="V228" i="1"/>
  <c r="W228" i="1"/>
  <c r="X228" i="1"/>
  <c r="Y228" i="1"/>
  <c r="Z228" i="1"/>
  <c r="AA228" i="1"/>
  <c r="AB228" i="1"/>
  <c r="AC228" i="1"/>
  <c r="AD228" i="1"/>
  <c r="AE228" i="1"/>
  <c r="AF228" i="1"/>
  <c r="AG228" i="1"/>
  <c r="AH228" i="1"/>
  <c r="AI228" i="1"/>
  <c r="AP228" i="1"/>
  <c r="AQ228" i="1"/>
  <c r="AR228" i="1"/>
  <c r="AS228" i="1"/>
  <c r="AU228" i="1"/>
  <c r="AV228" i="1"/>
  <c r="AX228" i="1"/>
  <c r="BK228" i="1"/>
  <c r="BL228" i="1"/>
  <c r="BM228" i="1"/>
  <c r="BP228" i="1"/>
  <c r="BR228" i="1"/>
  <c r="I109" i="1"/>
  <c r="J109" i="1"/>
  <c r="K109" i="1"/>
  <c r="L109" i="1"/>
  <c r="M109" i="1"/>
  <c r="N109" i="1"/>
  <c r="O109" i="1"/>
  <c r="P109" i="1"/>
  <c r="Q109" i="1"/>
  <c r="R109" i="1"/>
  <c r="S109" i="1"/>
  <c r="T109" i="1"/>
  <c r="U109" i="1"/>
  <c r="V109" i="1"/>
  <c r="W109" i="1"/>
  <c r="X109" i="1"/>
  <c r="Y109" i="1"/>
  <c r="Z109" i="1"/>
  <c r="AA109" i="1"/>
  <c r="AB109" i="1"/>
  <c r="AC109" i="1"/>
  <c r="AD109" i="1"/>
  <c r="AE109" i="1"/>
  <c r="AF109" i="1"/>
  <c r="AG109" i="1"/>
  <c r="AH109" i="1"/>
  <c r="AI109" i="1"/>
  <c r="AP109" i="1"/>
  <c r="AQ109" i="1"/>
  <c r="AR109" i="1"/>
  <c r="AS109" i="1"/>
  <c r="AU109" i="1"/>
  <c r="AV109" i="1"/>
  <c r="AX109" i="1"/>
  <c r="BK109" i="1"/>
  <c r="BL109" i="1"/>
  <c r="BM109" i="1"/>
  <c r="BP109" i="1"/>
  <c r="BR109" i="1"/>
  <c r="I229" i="1"/>
  <c r="J229" i="1"/>
  <c r="K229" i="1"/>
  <c r="L229" i="1"/>
  <c r="M229" i="1"/>
  <c r="N229" i="1"/>
  <c r="O229" i="1"/>
  <c r="P229" i="1"/>
  <c r="Q229" i="1"/>
  <c r="R229" i="1"/>
  <c r="S229" i="1"/>
  <c r="T229" i="1"/>
  <c r="U229" i="1"/>
  <c r="V229" i="1"/>
  <c r="W229" i="1"/>
  <c r="X229" i="1"/>
  <c r="Y229" i="1"/>
  <c r="Z229" i="1"/>
  <c r="AA229" i="1"/>
  <c r="AB229" i="1"/>
  <c r="AC229" i="1"/>
  <c r="AD229" i="1"/>
  <c r="AE229" i="1"/>
  <c r="AF229" i="1"/>
  <c r="AG229" i="1"/>
  <c r="AH229" i="1"/>
  <c r="AI229" i="1"/>
  <c r="AP229" i="1"/>
  <c r="AQ229" i="1"/>
  <c r="AR229" i="1"/>
  <c r="AS229" i="1"/>
  <c r="AU229" i="1"/>
  <c r="AV229" i="1"/>
  <c r="AX229" i="1"/>
  <c r="BK229" i="1"/>
  <c r="BL229" i="1"/>
  <c r="BM229" i="1"/>
  <c r="BP229" i="1"/>
  <c r="BR229" i="1"/>
  <c r="I245" i="1"/>
  <c r="J245" i="1"/>
  <c r="K245" i="1"/>
  <c r="L245" i="1"/>
  <c r="M245" i="1"/>
  <c r="N245" i="1"/>
  <c r="O245" i="1"/>
  <c r="P245" i="1"/>
  <c r="Q245" i="1"/>
  <c r="R245" i="1"/>
  <c r="S245" i="1"/>
  <c r="T245" i="1"/>
  <c r="U245" i="1"/>
  <c r="V245" i="1"/>
  <c r="W245" i="1"/>
  <c r="X245" i="1"/>
  <c r="Y245" i="1"/>
  <c r="Z245" i="1"/>
  <c r="AA245" i="1"/>
  <c r="AB245" i="1"/>
  <c r="AC245" i="1"/>
  <c r="AD245" i="1"/>
  <c r="AE245" i="1"/>
  <c r="AF245" i="1"/>
  <c r="AG245" i="1"/>
  <c r="AH245" i="1"/>
  <c r="AI245" i="1"/>
  <c r="AP245" i="1"/>
  <c r="AQ245" i="1"/>
  <c r="AR245" i="1"/>
  <c r="AS245" i="1"/>
  <c r="AU245" i="1"/>
  <c r="AV245" i="1"/>
  <c r="AX245" i="1"/>
  <c r="BK245" i="1"/>
  <c r="BL245" i="1"/>
  <c r="BM245" i="1"/>
  <c r="BP245" i="1"/>
  <c r="BR245" i="1"/>
  <c r="I230" i="1"/>
  <c r="J230" i="1"/>
  <c r="K230" i="1"/>
  <c r="L230" i="1"/>
  <c r="M230" i="1"/>
  <c r="N230" i="1"/>
  <c r="O230" i="1"/>
  <c r="P230" i="1"/>
  <c r="Q230" i="1"/>
  <c r="R230" i="1"/>
  <c r="S230" i="1"/>
  <c r="T230" i="1"/>
  <c r="U230" i="1"/>
  <c r="V230" i="1"/>
  <c r="W230" i="1"/>
  <c r="X230" i="1"/>
  <c r="Y230" i="1"/>
  <c r="Z230" i="1"/>
  <c r="AA230" i="1"/>
  <c r="AB230" i="1"/>
  <c r="AC230" i="1"/>
  <c r="AD230" i="1"/>
  <c r="AE230" i="1"/>
  <c r="AF230" i="1"/>
  <c r="AG230" i="1"/>
  <c r="AH230" i="1"/>
  <c r="AI230" i="1"/>
  <c r="AP230" i="1"/>
  <c r="AQ230" i="1"/>
  <c r="AR230" i="1"/>
  <c r="AS230" i="1"/>
  <c r="AU230" i="1"/>
  <c r="AV230" i="1"/>
  <c r="AX230" i="1"/>
  <c r="BK230" i="1"/>
  <c r="BL230" i="1"/>
  <c r="BM230" i="1"/>
  <c r="BP230" i="1"/>
  <c r="BR230" i="1"/>
  <c r="I231" i="1"/>
  <c r="J231" i="1"/>
  <c r="K231" i="1"/>
  <c r="L231" i="1"/>
  <c r="M231" i="1"/>
  <c r="N231" i="1"/>
  <c r="O231" i="1"/>
  <c r="P231" i="1"/>
  <c r="Q231" i="1"/>
  <c r="R231" i="1"/>
  <c r="S231" i="1"/>
  <c r="T231" i="1"/>
  <c r="U231" i="1"/>
  <c r="V231" i="1"/>
  <c r="W231" i="1"/>
  <c r="X231" i="1"/>
  <c r="Y231" i="1"/>
  <c r="Z231" i="1"/>
  <c r="AA231" i="1"/>
  <c r="AB231" i="1"/>
  <c r="AC231" i="1"/>
  <c r="AD231" i="1"/>
  <c r="AE231" i="1"/>
  <c r="AF231" i="1"/>
  <c r="AG231" i="1"/>
  <c r="AH231" i="1"/>
  <c r="AI231" i="1"/>
  <c r="AP231" i="1"/>
  <c r="AQ231" i="1"/>
  <c r="AR231" i="1"/>
  <c r="AS231" i="1"/>
  <c r="AU231" i="1"/>
  <c r="AV231" i="1"/>
  <c r="AX231" i="1"/>
  <c r="BK231" i="1"/>
  <c r="BL231" i="1"/>
  <c r="BM231" i="1"/>
  <c r="BP231" i="1"/>
  <c r="BR231" i="1"/>
  <c r="I232" i="1"/>
  <c r="J232" i="1"/>
  <c r="K232" i="1"/>
  <c r="L232" i="1"/>
  <c r="M232" i="1"/>
  <c r="N232" i="1"/>
  <c r="O232" i="1"/>
  <c r="P232" i="1"/>
  <c r="Q232" i="1"/>
  <c r="R232" i="1"/>
  <c r="S232" i="1"/>
  <c r="T232" i="1"/>
  <c r="U232" i="1"/>
  <c r="V232" i="1"/>
  <c r="W232" i="1"/>
  <c r="X232" i="1"/>
  <c r="Y232" i="1"/>
  <c r="Z232" i="1"/>
  <c r="AA232" i="1"/>
  <c r="AB232" i="1"/>
  <c r="AC232" i="1"/>
  <c r="AD232" i="1"/>
  <c r="AE232" i="1"/>
  <c r="AF232" i="1"/>
  <c r="AG232" i="1"/>
  <c r="AH232" i="1"/>
  <c r="AI232" i="1"/>
  <c r="AP232" i="1"/>
  <c r="AQ232" i="1"/>
  <c r="AR232" i="1"/>
  <c r="AS232" i="1"/>
  <c r="AU232" i="1"/>
  <c r="AV232" i="1"/>
  <c r="AX232" i="1"/>
  <c r="BK232" i="1"/>
  <c r="BL232" i="1"/>
  <c r="BM232" i="1"/>
  <c r="BP232" i="1"/>
  <c r="BR232" i="1"/>
  <c r="I233" i="1"/>
  <c r="J233" i="1"/>
  <c r="K233" i="1"/>
  <c r="L233" i="1"/>
  <c r="M233" i="1"/>
  <c r="N233" i="1"/>
  <c r="O233" i="1"/>
  <c r="P233" i="1"/>
  <c r="Q233" i="1"/>
  <c r="R233" i="1"/>
  <c r="S233" i="1"/>
  <c r="T233" i="1"/>
  <c r="U233" i="1"/>
  <c r="V233" i="1"/>
  <c r="W233" i="1"/>
  <c r="X233" i="1"/>
  <c r="Y233" i="1"/>
  <c r="Z233" i="1"/>
  <c r="AA233" i="1"/>
  <c r="AB233" i="1"/>
  <c r="AC233" i="1"/>
  <c r="AD233" i="1"/>
  <c r="AE233" i="1"/>
  <c r="AF233" i="1"/>
  <c r="AG233" i="1"/>
  <c r="AH233" i="1"/>
  <c r="AI233" i="1"/>
  <c r="AP233" i="1"/>
  <c r="AQ233" i="1"/>
  <c r="AR233" i="1"/>
  <c r="AS233" i="1"/>
  <c r="AU233" i="1"/>
  <c r="AV233" i="1"/>
  <c r="AX233" i="1"/>
  <c r="BK233" i="1"/>
  <c r="BL233" i="1"/>
  <c r="BM233" i="1"/>
  <c r="BP233" i="1"/>
  <c r="BR233" i="1"/>
  <c r="I246" i="1"/>
  <c r="J246" i="1"/>
  <c r="K246" i="1"/>
  <c r="L246" i="1"/>
  <c r="M246" i="1"/>
  <c r="N246" i="1"/>
  <c r="O246" i="1"/>
  <c r="P246" i="1"/>
  <c r="Q246" i="1"/>
  <c r="R246" i="1"/>
  <c r="S246" i="1"/>
  <c r="T246" i="1"/>
  <c r="U246" i="1"/>
  <c r="V246" i="1"/>
  <c r="W246" i="1"/>
  <c r="X246" i="1"/>
  <c r="Y246" i="1"/>
  <c r="Z246" i="1"/>
  <c r="AA246" i="1"/>
  <c r="AB246" i="1"/>
  <c r="AC246" i="1"/>
  <c r="AD246" i="1"/>
  <c r="AE246" i="1"/>
  <c r="AF246" i="1"/>
  <c r="AG246" i="1"/>
  <c r="AH246" i="1"/>
  <c r="AI246" i="1"/>
  <c r="AP246" i="1"/>
  <c r="AQ246" i="1"/>
  <c r="AR246" i="1"/>
  <c r="AS246" i="1"/>
  <c r="AU246" i="1"/>
  <c r="AV246" i="1"/>
  <c r="AX246" i="1"/>
  <c r="BK246" i="1"/>
  <c r="BL246" i="1"/>
  <c r="BM246" i="1"/>
  <c r="BP246" i="1"/>
  <c r="BR246" i="1"/>
  <c r="I227" i="1"/>
  <c r="J227" i="1"/>
  <c r="K227" i="1"/>
  <c r="L227" i="1"/>
  <c r="M227" i="1"/>
  <c r="N227" i="1"/>
  <c r="O227" i="1"/>
  <c r="P227" i="1"/>
  <c r="Q227" i="1"/>
  <c r="R227" i="1"/>
  <c r="S227" i="1"/>
  <c r="T227" i="1"/>
  <c r="U227" i="1"/>
  <c r="V227" i="1"/>
  <c r="W227" i="1"/>
  <c r="X227" i="1"/>
  <c r="Y227" i="1"/>
  <c r="Z227" i="1"/>
  <c r="AA227" i="1"/>
  <c r="AB227" i="1"/>
  <c r="AC227" i="1"/>
  <c r="AD227" i="1"/>
  <c r="AE227" i="1"/>
  <c r="AF227" i="1"/>
  <c r="AG227" i="1"/>
  <c r="AH227" i="1"/>
  <c r="AI227" i="1"/>
  <c r="AP227" i="1"/>
  <c r="AQ227" i="1"/>
  <c r="AR227" i="1"/>
  <c r="AS227" i="1"/>
  <c r="AU227" i="1"/>
  <c r="AV227" i="1"/>
  <c r="AX227" i="1"/>
  <c r="BK227" i="1"/>
  <c r="BL227" i="1"/>
  <c r="BM227" i="1"/>
  <c r="BP227" i="1"/>
  <c r="BR227" i="1"/>
  <c r="I244" i="1"/>
  <c r="J244" i="1"/>
  <c r="K244" i="1"/>
  <c r="L244" i="1"/>
  <c r="M244" i="1"/>
  <c r="N244" i="1"/>
  <c r="O244" i="1"/>
  <c r="P244" i="1"/>
  <c r="Q244" i="1"/>
  <c r="R244" i="1"/>
  <c r="S244" i="1"/>
  <c r="T244" i="1"/>
  <c r="U244" i="1"/>
  <c r="V244" i="1"/>
  <c r="W244" i="1"/>
  <c r="X244" i="1"/>
  <c r="Y244" i="1"/>
  <c r="Z244" i="1"/>
  <c r="AA244" i="1"/>
  <c r="AB244" i="1"/>
  <c r="AC244" i="1"/>
  <c r="AD244" i="1"/>
  <c r="AE244" i="1"/>
  <c r="AF244" i="1"/>
  <c r="AG244" i="1"/>
  <c r="AH244" i="1"/>
  <c r="AI244" i="1"/>
  <c r="AP244" i="1"/>
  <c r="AQ244" i="1"/>
  <c r="AR244" i="1"/>
  <c r="AS244" i="1"/>
  <c r="AU244" i="1"/>
  <c r="AV244" i="1"/>
  <c r="AX244" i="1"/>
  <c r="BK244" i="1"/>
  <c r="BL244" i="1"/>
  <c r="BM244" i="1"/>
  <c r="BP244" i="1"/>
  <c r="BR244" i="1"/>
  <c r="I221" i="1"/>
  <c r="J221" i="1"/>
  <c r="K221" i="1"/>
  <c r="L221" i="1"/>
  <c r="M221" i="1"/>
  <c r="N221" i="1"/>
  <c r="O221" i="1"/>
  <c r="P221" i="1"/>
  <c r="Q221" i="1"/>
  <c r="R221" i="1"/>
  <c r="S221" i="1"/>
  <c r="T221" i="1"/>
  <c r="U221" i="1"/>
  <c r="V221" i="1"/>
  <c r="W221" i="1"/>
  <c r="X221" i="1"/>
  <c r="Y221" i="1"/>
  <c r="Z221" i="1"/>
  <c r="AA221" i="1"/>
  <c r="AB221" i="1"/>
  <c r="AC221" i="1"/>
  <c r="AD221" i="1"/>
  <c r="AE221" i="1"/>
  <c r="AF221" i="1"/>
  <c r="AG221" i="1"/>
  <c r="AH221" i="1"/>
  <c r="AI221" i="1"/>
  <c r="AP221" i="1"/>
  <c r="AQ221" i="1"/>
  <c r="AR221" i="1"/>
  <c r="AS221" i="1"/>
  <c r="AU221" i="1"/>
  <c r="AV221" i="1"/>
  <c r="AX221" i="1"/>
  <c r="BK221" i="1"/>
  <c r="BL221" i="1"/>
  <c r="BM221" i="1"/>
  <c r="BP221" i="1"/>
  <c r="BR221" i="1"/>
  <c r="I236" i="1"/>
  <c r="J236" i="1"/>
  <c r="K236" i="1"/>
  <c r="L236" i="1"/>
  <c r="M236" i="1"/>
  <c r="N236" i="1"/>
  <c r="O236" i="1"/>
  <c r="P236" i="1"/>
  <c r="Q236" i="1"/>
  <c r="R236" i="1"/>
  <c r="S236" i="1"/>
  <c r="T236" i="1"/>
  <c r="U236" i="1"/>
  <c r="V236" i="1"/>
  <c r="W236" i="1"/>
  <c r="X236" i="1"/>
  <c r="Y236" i="1"/>
  <c r="Z236" i="1"/>
  <c r="AA236" i="1"/>
  <c r="AB236" i="1"/>
  <c r="AC236" i="1"/>
  <c r="AD236" i="1"/>
  <c r="AE236" i="1"/>
  <c r="AF236" i="1"/>
  <c r="AG236" i="1"/>
  <c r="AH236" i="1"/>
  <c r="AI236" i="1"/>
  <c r="AP236" i="1"/>
  <c r="AQ236" i="1"/>
  <c r="AR236" i="1"/>
  <c r="AS236" i="1"/>
  <c r="AU236" i="1"/>
  <c r="AV236" i="1"/>
  <c r="AX236" i="1"/>
  <c r="BK236" i="1"/>
  <c r="BL236" i="1"/>
  <c r="BM236" i="1"/>
  <c r="BP236" i="1"/>
  <c r="BR236" i="1"/>
  <c r="I237" i="1"/>
  <c r="J237" i="1"/>
  <c r="K237" i="1"/>
  <c r="L237" i="1"/>
  <c r="M237" i="1"/>
  <c r="N237" i="1"/>
  <c r="O237" i="1"/>
  <c r="P237" i="1"/>
  <c r="Q237" i="1"/>
  <c r="R237" i="1"/>
  <c r="S237" i="1"/>
  <c r="T237" i="1"/>
  <c r="U237" i="1"/>
  <c r="V237" i="1"/>
  <c r="W237" i="1"/>
  <c r="X237" i="1"/>
  <c r="Y237" i="1"/>
  <c r="Z237" i="1"/>
  <c r="AA237" i="1"/>
  <c r="AB237" i="1"/>
  <c r="AC237" i="1"/>
  <c r="AD237" i="1"/>
  <c r="AE237" i="1"/>
  <c r="AF237" i="1"/>
  <c r="AG237" i="1"/>
  <c r="AH237" i="1"/>
  <c r="AI237" i="1"/>
  <c r="AP237" i="1"/>
  <c r="AQ237" i="1"/>
  <c r="AR237" i="1"/>
  <c r="AS237" i="1"/>
  <c r="AU237" i="1"/>
  <c r="AV237" i="1"/>
  <c r="AX237" i="1"/>
  <c r="BK237" i="1"/>
  <c r="BL237" i="1"/>
  <c r="BM237" i="1"/>
  <c r="BP237" i="1"/>
  <c r="BR237" i="1"/>
  <c r="I238" i="1"/>
  <c r="J238" i="1"/>
  <c r="K238" i="1"/>
  <c r="L238" i="1"/>
  <c r="M238" i="1"/>
  <c r="N238" i="1"/>
  <c r="O238" i="1"/>
  <c r="P238" i="1"/>
  <c r="Q238" i="1"/>
  <c r="R238" i="1"/>
  <c r="S238" i="1"/>
  <c r="T238" i="1"/>
  <c r="U238" i="1"/>
  <c r="V238" i="1"/>
  <c r="W238" i="1"/>
  <c r="X238" i="1"/>
  <c r="Y238" i="1"/>
  <c r="Z238" i="1"/>
  <c r="AA238" i="1"/>
  <c r="AB238" i="1"/>
  <c r="AC238" i="1"/>
  <c r="AD238" i="1"/>
  <c r="AE238" i="1"/>
  <c r="AF238" i="1"/>
  <c r="AG238" i="1"/>
  <c r="AH238" i="1"/>
  <c r="AI238" i="1"/>
  <c r="AP238" i="1"/>
  <c r="AQ238" i="1"/>
  <c r="AR238" i="1"/>
  <c r="AS238" i="1"/>
  <c r="AU238" i="1"/>
  <c r="AV238" i="1"/>
  <c r="AX238" i="1"/>
  <c r="BK238" i="1"/>
  <c r="BL238" i="1"/>
  <c r="BM238" i="1"/>
  <c r="BP238" i="1"/>
  <c r="BR238" i="1"/>
  <c r="I239" i="1"/>
  <c r="J239" i="1"/>
  <c r="K239" i="1"/>
  <c r="L239" i="1"/>
  <c r="M239" i="1"/>
  <c r="N239" i="1"/>
  <c r="O239" i="1"/>
  <c r="P239" i="1"/>
  <c r="Q239" i="1"/>
  <c r="R239" i="1"/>
  <c r="S239" i="1"/>
  <c r="T239" i="1"/>
  <c r="U239" i="1"/>
  <c r="V239" i="1"/>
  <c r="W239" i="1"/>
  <c r="X239" i="1"/>
  <c r="Y239" i="1"/>
  <c r="Z239" i="1"/>
  <c r="AA239" i="1"/>
  <c r="AB239" i="1"/>
  <c r="AC239" i="1"/>
  <c r="AD239" i="1"/>
  <c r="AE239" i="1"/>
  <c r="AF239" i="1"/>
  <c r="AG239" i="1"/>
  <c r="AH239" i="1"/>
  <c r="AI239" i="1"/>
  <c r="AP239" i="1"/>
  <c r="AQ239" i="1"/>
  <c r="AR239" i="1"/>
  <c r="AS239" i="1"/>
  <c r="AU239" i="1"/>
  <c r="AV239" i="1"/>
  <c r="AX239" i="1"/>
  <c r="BK239" i="1"/>
  <c r="BL239" i="1"/>
  <c r="BM239" i="1"/>
  <c r="BP239" i="1"/>
  <c r="BR239" i="1"/>
  <c r="I240" i="1"/>
  <c r="J240" i="1"/>
  <c r="K240" i="1"/>
  <c r="L240" i="1"/>
  <c r="M240" i="1"/>
  <c r="N240" i="1"/>
  <c r="O240" i="1"/>
  <c r="P240" i="1"/>
  <c r="Q240" i="1"/>
  <c r="R240" i="1"/>
  <c r="S240" i="1"/>
  <c r="T240" i="1"/>
  <c r="U240" i="1"/>
  <c r="V240" i="1"/>
  <c r="W240" i="1"/>
  <c r="X240" i="1"/>
  <c r="Y240" i="1"/>
  <c r="Z240" i="1"/>
  <c r="AA240" i="1"/>
  <c r="AB240" i="1"/>
  <c r="AC240" i="1"/>
  <c r="AD240" i="1"/>
  <c r="AE240" i="1"/>
  <c r="AF240" i="1"/>
  <c r="AG240" i="1"/>
  <c r="AH240" i="1"/>
  <c r="AI240" i="1"/>
  <c r="AP240" i="1"/>
  <c r="AQ240" i="1"/>
  <c r="AR240" i="1"/>
  <c r="AS240" i="1"/>
  <c r="AU240" i="1"/>
  <c r="AV240" i="1"/>
  <c r="AX240" i="1"/>
  <c r="BK240" i="1"/>
  <c r="BL240" i="1"/>
  <c r="BM240" i="1"/>
  <c r="BP240" i="1"/>
  <c r="BR240" i="1"/>
  <c r="I241" i="1"/>
  <c r="J241" i="1"/>
  <c r="K241" i="1"/>
  <c r="L241" i="1"/>
  <c r="M241" i="1"/>
  <c r="N241" i="1"/>
  <c r="O241" i="1"/>
  <c r="P241" i="1"/>
  <c r="Q241" i="1"/>
  <c r="R241" i="1"/>
  <c r="S241" i="1"/>
  <c r="T241" i="1"/>
  <c r="U241" i="1"/>
  <c r="V241" i="1"/>
  <c r="W241" i="1"/>
  <c r="X241" i="1"/>
  <c r="Y241" i="1"/>
  <c r="Z241" i="1"/>
  <c r="AA241" i="1"/>
  <c r="AB241" i="1"/>
  <c r="AC241" i="1"/>
  <c r="AD241" i="1"/>
  <c r="AE241" i="1"/>
  <c r="AF241" i="1"/>
  <c r="AG241" i="1"/>
  <c r="AH241" i="1"/>
  <c r="AI241" i="1"/>
  <c r="AP241" i="1"/>
  <c r="AQ241" i="1"/>
  <c r="AR241" i="1"/>
  <c r="AS241" i="1"/>
  <c r="AU241" i="1"/>
  <c r="AV241" i="1"/>
  <c r="AX241" i="1"/>
  <c r="BK241" i="1"/>
  <c r="BL241" i="1"/>
  <c r="BM241" i="1"/>
  <c r="BP241" i="1"/>
  <c r="BR241" i="1"/>
  <c r="I223" i="1"/>
  <c r="J223" i="1"/>
  <c r="K223" i="1"/>
  <c r="L223" i="1"/>
  <c r="M223" i="1"/>
  <c r="N223" i="1"/>
  <c r="O223" i="1"/>
  <c r="P223" i="1"/>
  <c r="Q223" i="1"/>
  <c r="R223" i="1"/>
  <c r="S223" i="1"/>
  <c r="T223" i="1"/>
  <c r="U223" i="1"/>
  <c r="V223" i="1"/>
  <c r="W223" i="1"/>
  <c r="X223" i="1"/>
  <c r="Y223" i="1"/>
  <c r="Z223" i="1"/>
  <c r="AA223" i="1"/>
  <c r="AB223" i="1"/>
  <c r="AC223" i="1"/>
  <c r="AD223" i="1"/>
  <c r="AE223" i="1"/>
  <c r="AF223" i="1"/>
  <c r="AG223" i="1"/>
  <c r="AH223" i="1"/>
  <c r="AI223" i="1"/>
  <c r="AP223" i="1"/>
  <c r="AQ223" i="1"/>
  <c r="AR223" i="1"/>
  <c r="AS223" i="1"/>
  <c r="AU223" i="1"/>
  <c r="AV223" i="1"/>
  <c r="AX223" i="1"/>
  <c r="BK223" i="1"/>
  <c r="BL223" i="1"/>
  <c r="BM223" i="1"/>
  <c r="BP223" i="1"/>
  <c r="BR223" i="1"/>
  <c r="I242" i="1"/>
  <c r="J242" i="1"/>
  <c r="K242" i="1"/>
  <c r="L242" i="1"/>
  <c r="M242" i="1"/>
  <c r="N242" i="1"/>
  <c r="O242" i="1"/>
  <c r="P242" i="1"/>
  <c r="Q242" i="1"/>
  <c r="R242" i="1"/>
  <c r="S242" i="1"/>
  <c r="T242" i="1"/>
  <c r="U242" i="1"/>
  <c r="V242" i="1"/>
  <c r="W242" i="1"/>
  <c r="X242" i="1"/>
  <c r="Y242" i="1"/>
  <c r="Z242" i="1"/>
  <c r="AA242" i="1"/>
  <c r="AB242" i="1"/>
  <c r="AC242" i="1"/>
  <c r="AD242" i="1"/>
  <c r="AE242" i="1"/>
  <c r="AF242" i="1"/>
  <c r="AG242" i="1"/>
  <c r="AH242" i="1"/>
  <c r="AI242" i="1"/>
  <c r="AP242" i="1"/>
  <c r="AQ242" i="1"/>
  <c r="AR242" i="1"/>
  <c r="AS242" i="1"/>
  <c r="AU242" i="1"/>
  <c r="AV242" i="1"/>
  <c r="AX242" i="1"/>
  <c r="BK242" i="1"/>
  <c r="BL242" i="1"/>
  <c r="BM242" i="1"/>
  <c r="BP242" i="1"/>
  <c r="BR242" i="1"/>
  <c r="I224" i="1"/>
  <c r="J224" i="1"/>
  <c r="K224" i="1"/>
  <c r="L224" i="1"/>
  <c r="M224" i="1"/>
  <c r="N224" i="1"/>
  <c r="O224" i="1"/>
  <c r="P224" i="1"/>
  <c r="Q224" i="1"/>
  <c r="R224" i="1"/>
  <c r="S224" i="1"/>
  <c r="T224" i="1"/>
  <c r="U224" i="1"/>
  <c r="V224" i="1"/>
  <c r="W224" i="1"/>
  <c r="X224" i="1"/>
  <c r="Y224" i="1"/>
  <c r="Z224" i="1"/>
  <c r="AA224" i="1"/>
  <c r="AB224" i="1"/>
  <c r="AC224" i="1"/>
  <c r="AD224" i="1"/>
  <c r="AE224" i="1"/>
  <c r="AF224" i="1"/>
  <c r="AG224" i="1"/>
  <c r="AH224" i="1"/>
  <c r="AI224" i="1"/>
  <c r="AP224" i="1"/>
  <c r="AQ224" i="1"/>
  <c r="AR224" i="1"/>
  <c r="AS224" i="1"/>
  <c r="AU224" i="1"/>
  <c r="AV224" i="1"/>
  <c r="AX224" i="1"/>
  <c r="BK224" i="1"/>
  <c r="BL224" i="1"/>
  <c r="BM224" i="1"/>
  <c r="BP224" i="1"/>
  <c r="BR224" i="1"/>
  <c r="I225" i="1"/>
  <c r="J225" i="1"/>
  <c r="K225" i="1"/>
  <c r="L225" i="1"/>
  <c r="M225" i="1"/>
  <c r="N225" i="1"/>
  <c r="O225" i="1"/>
  <c r="P225" i="1"/>
  <c r="Q225" i="1"/>
  <c r="R225" i="1"/>
  <c r="S225" i="1"/>
  <c r="T225" i="1"/>
  <c r="U225" i="1"/>
  <c r="V225" i="1"/>
  <c r="W225" i="1"/>
  <c r="X225" i="1"/>
  <c r="Y225" i="1"/>
  <c r="Z225" i="1"/>
  <c r="AA225" i="1"/>
  <c r="AB225" i="1"/>
  <c r="AC225" i="1"/>
  <c r="AD225" i="1"/>
  <c r="AE225" i="1"/>
  <c r="AF225" i="1"/>
  <c r="AG225" i="1"/>
  <c r="AH225" i="1"/>
  <c r="AI225" i="1"/>
  <c r="AP225" i="1"/>
  <c r="AQ225" i="1"/>
  <c r="AR225" i="1"/>
  <c r="AS225" i="1"/>
  <c r="AU225" i="1"/>
  <c r="AV225" i="1"/>
  <c r="AX225" i="1"/>
  <c r="BK225" i="1"/>
  <c r="BL225" i="1"/>
  <c r="BM225" i="1"/>
  <c r="BP225" i="1"/>
  <c r="BR225" i="1"/>
  <c r="I226" i="1"/>
  <c r="J226" i="1"/>
  <c r="K226" i="1"/>
  <c r="L226" i="1"/>
  <c r="M226" i="1"/>
  <c r="N226" i="1"/>
  <c r="O226" i="1"/>
  <c r="P226" i="1"/>
  <c r="Q226" i="1"/>
  <c r="R226" i="1"/>
  <c r="S226" i="1"/>
  <c r="T226" i="1"/>
  <c r="U226" i="1"/>
  <c r="V226" i="1"/>
  <c r="W226" i="1"/>
  <c r="X226" i="1"/>
  <c r="Y226" i="1"/>
  <c r="Z226" i="1"/>
  <c r="AA226" i="1"/>
  <c r="AB226" i="1"/>
  <c r="AC226" i="1"/>
  <c r="AD226" i="1"/>
  <c r="AE226" i="1"/>
  <c r="AF226" i="1"/>
  <c r="AG226" i="1"/>
  <c r="AH226" i="1"/>
  <c r="AI226" i="1"/>
  <c r="AP226" i="1"/>
  <c r="AQ226" i="1"/>
  <c r="AR226" i="1"/>
  <c r="AS226" i="1"/>
  <c r="AU226" i="1"/>
  <c r="AV226" i="1"/>
  <c r="AX226" i="1"/>
  <c r="BK226" i="1"/>
  <c r="BL226" i="1"/>
  <c r="BM226" i="1"/>
  <c r="BP226" i="1"/>
  <c r="BR226" i="1"/>
  <c r="I222" i="1"/>
  <c r="J222" i="1"/>
  <c r="K222" i="1"/>
  <c r="L222" i="1"/>
  <c r="M222" i="1"/>
  <c r="N222" i="1"/>
  <c r="O222" i="1"/>
  <c r="P222" i="1"/>
  <c r="Q222" i="1"/>
  <c r="R222" i="1"/>
  <c r="S222" i="1"/>
  <c r="T222" i="1"/>
  <c r="U222" i="1"/>
  <c r="V222" i="1"/>
  <c r="W222" i="1"/>
  <c r="X222" i="1"/>
  <c r="Y222" i="1"/>
  <c r="Z222" i="1"/>
  <c r="AA222" i="1"/>
  <c r="AB222" i="1"/>
  <c r="AC222" i="1"/>
  <c r="AD222" i="1"/>
  <c r="AE222" i="1"/>
  <c r="AF222" i="1"/>
  <c r="AG222" i="1"/>
  <c r="AH222" i="1"/>
  <c r="AI222" i="1"/>
  <c r="AP222" i="1"/>
  <c r="AQ222" i="1"/>
  <c r="AR222" i="1"/>
  <c r="AS222" i="1"/>
  <c r="AU222" i="1"/>
  <c r="AV222" i="1"/>
  <c r="AX222" i="1"/>
  <c r="BK222" i="1"/>
  <c r="BL222" i="1"/>
  <c r="BM222" i="1"/>
  <c r="BP222" i="1"/>
  <c r="BR222" i="1"/>
  <c r="I243" i="1"/>
  <c r="J243" i="1"/>
  <c r="K243" i="1"/>
  <c r="L243" i="1"/>
  <c r="M243" i="1"/>
  <c r="N243" i="1"/>
  <c r="O243" i="1"/>
  <c r="P243" i="1"/>
  <c r="Q243" i="1"/>
  <c r="R243" i="1"/>
  <c r="S243" i="1"/>
  <c r="T243" i="1"/>
  <c r="U243" i="1"/>
  <c r="V243" i="1"/>
  <c r="W243" i="1"/>
  <c r="X243" i="1"/>
  <c r="Y243" i="1"/>
  <c r="Z243" i="1"/>
  <c r="AA243" i="1"/>
  <c r="AB243" i="1"/>
  <c r="AC243" i="1"/>
  <c r="AD243" i="1"/>
  <c r="AE243" i="1"/>
  <c r="AF243" i="1"/>
  <c r="AG243" i="1"/>
  <c r="AH243" i="1"/>
  <c r="AI243" i="1"/>
  <c r="AP243" i="1"/>
  <c r="AQ243" i="1"/>
  <c r="AR243" i="1"/>
  <c r="AS243" i="1"/>
  <c r="AU243" i="1"/>
  <c r="AV243" i="1"/>
  <c r="AX243" i="1"/>
  <c r="BK243" i="1"/>
  <c r="BL243" i="1"/>
  <c r="BM243" i="1"/>
  <c r="BP243" i="1"/>
  <c r="BR243" i="1"/>
  <c r="I216" i="1"/>
  <c r="J216" i="1"/>
  <c r="K216" i="1"/>
  <c r="L216" i="1"/>
  <c r="M216" i="1"/>
  <c r="N216" i="1"/>
  <c r="O216" i="1"/>
  <c r="P216" i="1"/>
  <c r="Q216" i="1"/>
  <c r="R216" i="1"/>
  <c r="S216" i="1"/>
  <c r="T216" i="1"/>
  <c r="U216" i="1"/>
  <c r="V216" i="1"/>
  <c r="W216" i="1"/>
  <c r="X216" i="1"/>
  <c r="Y216" i="1"/>
  <c r="Z216" i="1"/>
  <c r="AA216" i="1"/>
  <c r="AB216" i="1"/>
  <c r="AC216" i="1"/>
  <c r="AD216" i="1"/>
  <c r="AE216" i="1"/>
  <c r="AF216" i="1"/>
  <c r="AG216" i="1"/>
  <c r="AH216" i="1"/>
  <c r="AI216" i="1"/>
  <c r="AP216" i="1"/>
  <c r="AQ216" i="1"/>
  <c r="AR216" i="1"/>
  <c r="AS216" i="1"/>
  <c r="AU216" i="1"/>
  <c r="AV216" i="1"/>
  <c r="AX216" i="1"/>
  <c r="BK216" i="1"/>
  <c r="BL216" i="1"/>
  <c r="BM216" i="1"/>
  <c r="BP216" i="1"/>
  <c r="BR216" i="1"/>
  <c r="I217" i="1"/>
  <c r="J217" i="1"/>
  <c r="K217" i="1"/>
  <c r="L217" i="1"/>
  <c r="M217" i="1"/>
  <c r="N217" i="1"/>
  <c r="O217" i="1"/>
  <c r="P217" i="1"/>
  <c r="Q217" i="1"/>
  <c r="R217" i="1"/>
  <c r="S217" i="1"/>
  <c r="T217" i="1"/>
  <c r="U217" i="1"/>
  <c r="V217" i="1"/>
  <c r="W217" i="1"/>
  <c r="X217" i="1"/>
  <c r="Y217" i="1"/>
  <c r="Z217" i="1"/>
  <c r="AA217" i="1"/>
  <c r="AB217" i="1"/>
  <c r="AC217" i="1"/>
  <c r="AD217" i="1"/>
  <c r="AE217" i="1"/>
  <c r="AF217" i="1"/>
  <c r="AG217" i="1"/>
  <c r="AH217" i="1"/>
  <c r="AI217" i="1"/>
  <c r="AP217" i="1"/>
  <c r="AQ217" i="1"/>
  <c r="AR217" i="1"/>
  <c r="AS217" i="1"/>
  <c r="AU217" i="1"/>
  <c r="AV217" i="1"/>
  <c r="AX217" i="1"/>
  <c r="BK217" i="1"/>
  <c r="BL217" i="1"/>
  <c r="BM217" i="1"/>
  <c r="BP217" i="1"/>
  <c r="BR217" i="1"/>
  <c r="I178" i="1"/>
  <c r="J178" i="1"/>
  <c r="K178" i="1"/>
  <c r="L178" i="1"/>
  <c r="M178" i="1"/>
  <c r="N178" i="1"/>
  <c r="O178" i="1"/>
  <c r="P178" i="1"/>
  <c r="Q178" i="1"/>
  <c r="R178" i="1"/>
  <c r="S178" i="1"/>
  <c r="T178" i="1"/>
  <c r="U178" i="1"/>
  <c r="V178" i="1"/>
  <c r="W178" i="1"/>
  <c r="X178" i="1"/>
  <c r="Y178" i="1"/>
  <c r="Z178" i="1"/>
  <c r="AA178" i="1"/>
  <c r="AB178" i="1"/>
  <c r="AC178" i="1"/>
  <c r="AD178" i="1"/>
  <c r="AE178" i="1"/>
  <c r="AF178" i="1"/>
  <c r="AG178" i="1"/>
  <c r="AH178" i="1"/>
  <c r="AI178" i="1"/>
  <c r="AP178" i="1"/>
  <c r="AQ178" i="1"/>
  <c r="AR178" i="1"/>
  <c r="AS178" i="1"/>
  <c r="AU178" i="1"/>
  <c r="AV178" i="1"/>
  <c r="AX178" i="1"/>
  <c r="BK178" i="1"/>
  <c r="BL178" i="1"/>
  <c r="BM178" i="1"/>
  <c r="BP178" i="1"/>
  <c r="BR178" i="1"/>
  <c r="I179" i="1"/>
  <c r="J179" i="1"/>
  <c r="K179" i="1"/>
  <c r="L179" i="1"/>
  <c r="M179" i="1"/>
  <c r="N179" i="1"/>
  <c r="O179" i="1"/>
  <c r="P179" i="1"/>
  <c r="Q179" i="1"/>
  <c r="R179" i="1"/>
  <c r="S179" i="1"/>
  <c r="T179" i="1"/>
  <c r="U179" i="1"/>
  <c r="V179" i="1"/>
  <c r="W179" i="1"/>
  <c r="X179" i="1"/>
  <c r="Y179" i="1"/>
  <c r="Z179" i="1"/>
  <c r="AA179" i="1"/>
  <c r="AB179" i="1"/>
  <c r="AC179" i="1"/>
  <c r="AD179" i="1"/>
  <c r="AE179" i="1"/>
  <c r="AF179" i="1"/>
  <c r="AG179" i="1"/>
  <c r="AH179" i="1"/>
  <c r="AI179" i="1"/>
  <c r="AP179" i="1"/>
  <c r="AQ179" i="1"/>
  <c r="AR179" i="1"/>
  <c r="AS179" i="1"/>
  <c r="AU179" i="1"/>
  <c r="AV179" i="1"/>
  <c r="AX179" i="1"/>
  <c r="BK179" i="1"/>
  <c r="BL179" i="1"/>
  <c r="BM179" i="1"/>
  <c r="BP179" i="1"/>
  <c r="BR179" i="1"/>
  <c r="I218" i="1"/>
  <c r="J218" i="1"/>
  <c r="K218" i="1"/>
  <c r="L218" i="1"/>
  <c r="M218" i="1"/>
  <c r="N218" i="1"/>
  <c r="O218" i="1"/>
  <c r="P218" i="1"/>
  <c r="Q218" i="1"/>
  <c r="R218" i="1"/>
  <c r="S218" i="1"/>
  <c r="T218" i="1"/>
  <c r="U218" i="1"/>
  <c r="V218" i="1"/>
  <c r="W218" i="1"/>
  <c r="X218" i="1"/>
  <c r="Y218" i="1"/>
  <c r="Z218" i="1"/>
  <c r="AA218" i="1"/>
  <c r="AB218" i="1"/>
  <c r="AC218" i="1"/>
  <c r="AD218" i="1"/>
  <c r="AE218" i="1"/>
  <c r="AF218" i="1"/>
  <c r="AG218" i="1"/>
  <c r="AH218" i="1"/>
  <c r="AI218" i="1"/>
  <c r="AP218" i="1"/>
  <c r="AQ218" i="1"/>
  <c r="AR218" i="1"/>
  <c r="AS218" i="1"/>
  <c r="AU218" i="1"/>
  <c r="AV218" i="1"/>
  <c r="AX218" i="1"/>
  <c r="BK218" i="1"/>
  <c r="BL218" i="1"/>
  <c r="BM218" i="1"/>
  <c r="BP218" i="1"/>
  <c r="BR218" i="1"/>
  <c r="I180" i="1"/>
  <c r="J180" i="1"/>
  <c r="K180" i="1"/>
  <c r="L180" i="1"/>
  <c r="M180" i="1"/>
  <c r="N180" i="1"/>
  <c r="O180" i="1"/>
  <c r="P180" i="1"/>
  <c r="Q180" i="1"/>
  <c r="R180" i="1"/>
  <c r="S180" i="1"/>
  <c r="T180" i="1"/>
  <c r="U180" i="1"/>
  <c r="V180" i="1"/>
  <c r="W180" i="1"/>
  <c r="X180" i="1"/>
  <c r="Y180" i="1"/>
  <c r="Z180" i="1"/>
  <c r="AA180" i="1"/>
  <c r="AB180" i="1"/>
  <c r="AC180" i="1"/>
  <c r="AD180" i="1"/>
  <c r="AE180" i="1"/>
  <c r="AF180" i="1"/>
  <c r="AG180" i="1"/>
  <c r="AH180" i="1"/>
  <c r="AI180" i="1"/>
  <c r="AP180" i="1"/>
  <c r="AQ180" i="1"/>
  <c r="AR180" i="1"/>
  <c r="AS180" i="1"/>
  <c r="AU180" i="1"/>
  <c r="AV180" i="1"/>
  <c r="AX180" i="1"/>
  <c r="BK180" i="1"/>
  <c r="BL180" i="1"/>
  <c r="BM180" i="1"/>
  <c r="BP180" i="1"/>
  <c r="BR180" i="1"/>
  <c r="I213" i="1"/>
  <c r="J213" i="1"/>
  <c r="K213" i="1"/>
  <c r="L213" i="1"/>
  <c r="M213" i="1"/>
  <c r="N213" i="1"/>
  <c r="O213" i="1"/>
  <c r="P213" i="1"/>
  <c r="Q213" i="1"/>
  <c r="R213" i="1"/>
  <c r="S213" i="1"/>
  <c r="T213" i="1"/>
  <c r="U213" i="1"/>
  <c r="V213" i="1"/>
  <c r="W213" i="1"/>
  <c r="X213" i="1"/>
  <c r="Y213" i="1"/>
  <c r="Z213" i="1"/>
  <c r="AA213" i="1"/>
  <c r="AB213" i="1"/>
  <c r="AC213" i="1"/>
  <c r="AD213" i="1"/>
  <c r="AE213" i="1"/>
  <c r="AF213" i="1"/>
  <c r="AG213" i="1"/>
  <c r="AH213" i="1"/>
  <c r="AI213" i="1"/>
  <c r="AP213" i="1"/>
  <c r="AQ213" i="1"/>
  <c r="AR213" i="1"/>
  <c r="AS213" i="1"/>
  <c r="AU213" i="1"/>
  <c r="AV213" i="1"/>
  <c r="AX213" i="1"/>
  <c r="BK213" i="1"/>
  <c r="BL213" i="1"/>
  <c r="BM213" i="1"/>
  <c r="BP213" i="1"/>
  <c r="BR213" i="1"/>
  <c r="I174" i="1"/>
  <c r="J174" i="1"/>
  <c r="K174" i="1"/>
  <c r="L174" i="1"/>
  <c r="M174" i="1"/>
  <c r="N174" i="1"/>
  <c r="O174" i="1"/>
  <c r="P174" i="1"/>
  <c r="Q174" i="1"/>
  <c r="R174" i="1"/>
  <c r="S174" i="1"/>
  <c r="T174" i="1"/>
  <c r="U174" i="1"/>
  <c r="V174" i="1"/>
  <c r="W174" i="1"/>
  <c r="X174" i="1"/>
  <c r="Y174" i="1"/>
  <c r="Z174" i="1"/>
  <c r="AA174" i="1"/>
  <c r="AB174" i="1"/>
  <c r="AC174" i="1"/>
  <c r="AD174" i="1"/>
  <c r="AE174" i="1"/>
  <c r="AF174" i="1"/>
  <c r="AG174" i="1"/>
  <c r="AH174" i="1"/>
  <c r="AI174" i="1"/>
  <c r="AP174" i="1"/>
  <c r="AQ174" i="1"/>
  <c r="AR174" i="1"/>
  <c r="AS174" i="1"/>
  <c r="AU174" i="1"/>
  <c r="AV174" i="1"/>
  <c r="AX174" i="1"/>
  <c r="BK174" i="1"/>
  <c r="BL174" i="1"/>
  <c r="BM174" i="1"/>
  <c r="BP174" i="1"/>
  <c r="BR174" i="1"/>
  <c r="I214" i="1"/>
  <c r="J214" i="1"/>
  <c r="K214" i="1"/>
  <c r="L214" i="1"/>
  <c r="M214" i="1"/>
  <c r="N214" i="1"/>
  <c r="O214" i="1"/>
  <c r="P214" i="1"/>
  <c r="Q214" i="1"/>
  <c r="R214" i="1"/>
  <c r="S214" i="1"/>
  <c r="T214" i="1"/>
  <c r="U214" i="1"/>
  <c r="V214" i="1"/>
  <c r="W214" i="1"/>
  <c r="X214" i="1"/>
  <c r="Y214" i="1"/>
  <c r="Z214" i="1"/>
  <c r="AA214" i="1"/>
  <c r="AB214" i="1"/>
  <c r="AC214" i="1"/>
  <c r="AD214" i="1"/>
  <c r="AE214" i="1"/>
  <c r="AF214" i="1"/>
  <c r="AG214" i="1"/>
  <c r="AH214" i="1"/>
  <c r="AI214" i="1"/>
  <c r="AP214" i="1"/>
  <c r="AQ214" i="1"/>
  <c r="AR214" i="1"/>
  <c r="AS214" i="1"/>
  <c r="AU214" i="1"/>
  <c r="AV214" i="1"/>
  <c r="AX214" i="1"/>
  <c r="BK214" i="1"/>
  <c r="BL214" i="1"/>
  <c r="BM214" i="1"/>
  <c r="BP214" i="1"/>
  <c r="BR214" i="1"/>
  <c r="I175" i="1"/>
  <c r="J175" i="1"/>
  <c r="K175" i="1"/>
  <c r="L175" i="1"/>
  <c r="M175" i="1"/>
  <c r="N175" i="1"/>
  <c r="O175" i="1"/>
  <c r="P175" i="1"/>
  <c r="Q175" i="1"/>
  <c r="R175" i="1"/>
  <c r="S175" i="1"/>
  <c r="T175" i="1"/>
  <c r="U175" i="1"/>
  <c r="V175" i="1"/>
  <c r="W175" i="1"/>
  <c r="X175" i="1"/>
  <c r="Y175" i="1"/>
  <c r="Z175" i="1"/>
  <c r="AA175" i="1"/>
  <c r="AB175" i="1"/>
  <c r="AC175" i="1"/>
  <c r="AD175" i="1"/>
  <c r="AE175" i="1"/>
  <c r="AF175" i="1"/>
  <c r="AG175" i="1"/>
  <c r="AH175" i="1"/>
  <c r="AI175" i="1"/>
  <c r="AP175" i="1"/>
  <c r="AQ175" i="1"/>
  <c r="AR175" i="1"/>
  <c r="AS175" i="1"/>
  <c r="AU175" i="1"/>
  <c r="AV175" i="1"/>
  <c r="AX175" i="1"/>
  <c r="BK175" i="1"/>
  <c r="BL175" i="1"/>
  <c r="BM175" i="1"/>
  <c r="BP175" i="1"/>
  <c r="BR175" i="1"/>
  <c r="I215" i="1"/>
  <c r="J215" i="1"/>
  <c r="K215" i="1"/>
  <c r="L215" i="1"/>
  <c r="M215" i="1"/>
  <c r="N215" i="1"/>
  <c r="O215" i="1"/>
  <c r="P215" i="1"/>
  <c r="Q215" i="1"/>
  <c r="R215" i="1"/>
  <c r="S215" i="1"/>
  <c r="T215" i="1"/>
  <c r="U215" i="1"/>
  <c r="V215" i="1"/>
  <c r="W215" i="1"/>
  <c r="X215" i="1"/>
  <c r="Y215" i="1"/>
  <c r="Z215" i="1"/>
  <c r="AA215" i="1"/>
  <c r="AB215" i="1"/>
  <c r="AC215" i="1"/>
  <c r="AD215" i="1"/>
  <c r="AE215" i="1"/>
  <c r="AF215" i="1"/>
  <c r="AG215" i="1"/>
  <c r="AH215" i="1"/>
  <c r="AI215" i="1"/>
  <c r="AP215" i="1"/>
  <c r="AQ215" i="1"/>
  <c r="AR215" i="1"/>
  <c r="AS215" i="1"/>
  <c r="AU215" i="1"/>
  <c r="AV215" i="1"/>
  <c r="AX215" i="1"/>
  <c r="BK215" i="1"/>
  <c r="BL215" i="1"/>
  <c r="BM215" i="1"/>
  <c r="BP215" i="1"/>
  <c r="BR215" i="1"/>
  <c r="I176" i="1"/>
  <c r="J176" i="1"/>
  <c r="K176" i="1"/>
  <c r="L176" i="1"/>
  <c r="M176" i="1"/>
  <c r="N176" i="1"/>
  <c r="O176" i="1"/>
  <c r="P176" i="1"/>
  <c r="Q176" i="1"/>
  <c r="R176" i="1"/>
  <c r="S176" i="1"/>
  <c r="T176" i="1"/>
  <c r="U176" i="1"/>
  <c r="V176" i="1"/>
  <c r="W176" i="1"/>
  <c r="X176" i="1"/>
  <c r="Y176" i="1"/>
  <c r="Z176" i="1"/>
  <c r="AA176" i="1"/>
  <c r="AB176" i="1"/>
  <c r="AC176" i="1"/>
  <c r="AD176" i="1"/>
  <c r="AE176" i="1"/>
  <c r="AF176" i="1"/>
  <c r="AG176" i="1"/>
  <c r="AH176" i="1"/>
  <c r="AI176" i="1"/>
  <c r="AP176" i="1"/>
  <c r="AQ176" i="1"/>
  <c r="AR176" i="1"/>
  <c r="AS176" i="1"/>
  <c r="AU176" i="1"/>
  <c r="AV176" i="1"/>
  <c r="AX176" i="1"/>
  <c r="BK176" i="1"/>
  <c r="BL176" i="1"/>
  <c r="BM176" i="1"/>
  <c r="BP176" i="1"/>
  <c r="BR176" i="1"/>
  <c r="I177" i="1"/>
  <c r="J177" i="1"/>
  <c r="K177" i="1"/>
  <c r="L177" i="1"/>
  <c r="M177" i="1"/>
  <c r="N177" i="1"/>
  <c r="O177" i="1"/>
  <c r="P177" i="1"/>
  <c r="Q177" i="1"/>
  <c r="R177" i="1"/>
  <c r="S177" i="1"/>
  <c r="T177" i="1"/>
  <c r="U177" i="1"/>
  <c r="V177" i="1"/>
  <c r="W177" i="1"/>
  <c r="X177" i="1"/>
  <c r="Y177" i="1"/>
  <c r="Z177" i="1"/>
  <c r="AA177" i="1"/>
  <c r="AB177" i="1"/>
  <c r="AC177" i="1"/>
  <c r="AD177" i="1"/>
  <c r="AE177" i="1"/>
  <c r="AF177" i="1"/>
  <c r="AG177" i="1"/>
  <c r="AH177" i="1"/>
  <c r="AI177" i="1"/>
  <c r="AP177" i="1"/>
  <c r="AQ177" i="1"/>
  <c r="AR177" i="1"/>
  <c r="AS177" i="1"/>
  <c r="AU177" i="1"/>
  <c r="AV177" i="1"/>
  <c r="AX177" i="1"/>
  <c r="BK177" i="1"/>
  <c r="BL177" i="1"/>
  <c r="BM177" i="1"/>
  <c r="BP177" i="1"/>
  <c r="BR177" i="1"/>
  <c r="I171" i="1"/>
  <c r="J171" i="1"/>
  <c r="K171" i="1"/>
  <c r="L171" i="1"/>
  <c r="M171" i="1"/>
  <c r="N171" i="1"/>
  <c r="O171" i="1"/>
  <c r="P171" i="1"/>
  <c r="Q171" i="1"/>
  <c r="R171" i="1"/>
  <c r="S171" i="1"/>
  <c r="T171" i="1"/>
  <c r="U171" i="1"/>
  <c r="V171" i="1"/>
  <c r="W171" i="1"/>
  <c r="X171" i="1"/>
  <c r="Y171" i="1"/>
  <c r="Z171" i="1"/>
  <c r="AA171" i="1"/>
  <c r="AB171" i="1"/>
  <c r="AC171" i="1"/>
  <c r="AD171" i="1"/>
  <c r="AE171" i="1"/>
  <c r="AF171" i="1"/>
  <c r="AG171" i="1"/>
  <c r="AH171" i="1"/>
  <c r="AI171" i="1"/>
  <c r="AP171" i="1"/>
  <c r="AQ171" i="1"/>
  <c r="AR171" i="1"/>
  <c r="AS171" i="1"/>
  <c r="AU171" i="1"/>
  <c r="AV171" i="1"/>
  <c r="AX171" i="1"/>
  <c r="BK171" i="1"/>
  <c r="BL171" i="1"/>
  <c r="BM171" i="1"/>
  <c r="BP171" i="1"/>
  <c r="BR171" i="1"/>
  <c r="I172" i="1"/>
  <c r="J172" i="1"/>
  <c r="K172" i="1"/>
  <c r="L172" i="1"/>
  <c r="M172" i="1"/>
  <c r="N172" i="1"/>
  <c r="O172" i="1"/>
  <c r="P172" i="1"/>
  <c r="Q172" i="1"/>
  <c r="R172" i="1"/>
  <c r="S172" i="1"/>
  <c r="T172" i="1"/>
  <c r="U172" i="1"/>
  <c r="V172" i="1"/>
  <c r="W172" i="1"/>
  <c r="X172" i="1"/>
  <c r="Y172" i="1"/>
  <c r="Z172" i="1"/>
  <c r="AA172" i="1"/>
  <c r="AB172" i="1"/>
  <c r="AC172" i="1"/>
  <c r="AD172" i="1"/>
  <c r="AE172" i="1"/>
  <c r="AF172" i="1"/>
  <c r="AG172" i="1"/>
  <c r="AH172" i="1"/>
  <c r="AI172" i="1"/>
  <c r="AP172" i="1"/>
  <c r="AQ172" i="1"/>
  <c r="AR172" i="1"/>
  <c r="AS172" i="1"/>
  <c r="AU172" i="1"/>
  <c r="AV172" i="1"/>
  <c r="AX172" i="1"/>
  <c r="BK172" i="1"/>
  <c r="BL172" i="1"/>
  <c r="BM172" i="1"/>
  <c r="BP172" i="1"/>
  <c r="BR172" i="1"/>
  <c r="I210" i="1"/>
  <c r="J210" i="1"/>
  <c r="K210" i="1"/>
  <c r="L210" i="1"/>
  <c r="M210" i="1"/>
  <c r="N210" i="1"/>
  <c r="O210" i="1"/>
  <c r="P210" i="1"/>
  <c r="Q210" i="1"/>
  <c r="R210" i="1"/>
  <c r="S210" i="1"/>
  <c r="T210" i="1"/>
  <c r="U210" i="1"/>
  <c r="V210" i="1"/>
  <c r="W210" i="1"/>
  <c r="X210" i="1"/>
  <c r="Y210" i="1"/>
  <c r="Z210" i="1"/>
  <c r="AA210" i="1"/>
  <c r="AB210" i="1"/>
  <c r="AC210" i="1"/>
  <c r="AD210" i="1"/>
  <c r="AE210" i="1"/>
  <c r="AF210" i="1"/>
  <c r="AG210" i="1"/>
  <c r="AH210" i="1"/>
  <c r="AI210" i="1"/>
  <c r="AP210" i="1"/>
  <c r="AQ210" i="1"/>
  <c r="AR210" i="1"/>
  <c r="AS210" i="1"/>
  <c r="AU210" i="1"/>
  <c r="AV210" i="1"/>
  <c r="AX210" i="1"/>
  <c r="BK210" i="1"/>
  <c r="BL210" i="1"/>
  <c r="BM210" i="1"/>
  <c r="BP210" i="1"/>
  <c r="BR210" i="1"/>
  <c r="I211" i="1"/>
  <c r="J211" i="1"/>
  <c r="K211" i="1"/>
  <c r="L211" i="1"/>
  <c r="M211" i="1"/>
  <c r="N211" i="1"/>
  <c r="O211" i="1"/>
  <c r="P211" i="1"/>
  <c r="Q211" i="1"/>
  <c r="R211" i="1"/>
  <c r="S211" i="1"/>
  <c r="T211" i="1"/>
  <c r="U211" i="1"/>
  <c r="V211" i="1"/>
  <c r="W211" i="1"/>
  <c r="X211" i="1"/>
  <c r="Y211" i="1"/>
  <c r="Z211" i="1"/>
  <c r="AA211" i="1"/>
  <c r="AB211" i="1"/>
  <c r="AC211" i="1"/>
  <c r="AD211" i="1"/>
  <c r="AE211" i="1"/>
  <c r="AF211" i="1"/>
  <c r="AG211" i="1"/>
  <c r="AH211" i="1"/>
  <c r="AI211" i="1"/>
  <c r="AP211" i="1"/>
  <c r="AQ211" i="1"/>
  <c r="AR211" i="1"/>
  <c r="AS211" i="1"/>
  <c r="AU211" i="1"/>
  <c r="AV211" i="1"/>
  <c r="AX211" i="1"/>
  <c r="BK211" i="1"/>
  <c r="BL211" i="1"/>
  <c r="BM211" i="1"/>
  <c r="BP211" i="1"/>
  <c r="BR211" i="1"/>
  <c r="I212" i="1"/>
  <c r="J212" i="1"/>
  <c r="K212" i="1"/>
  <c r="L212" i="1"/>
  <c r="M212" i="1"/>
  <c r="N212" i="1"/>
  <c r="O212" i="1"/>
  <c r="P212" i="1"/>
  <c r="Q212" i="1"/>
  <c r="R212" i="1"/>
  <c r="S212" i="1"/>
  <c r="T212" i="1"/>
  <c r="U212" i="1"/>
  <c r="V212" i="1"/>
  <c r="W212" i="1"/>
  <c r="X212" i="1"/>
  <c r="Y212" i="1"/>
  <c r="Z212" i="1"/>
  <c r="AA212" i="1"/>
  <c r="AB212" i="1"/>
  <c r="AC212" i="1"/>
  <c r="AD212" i="1"/>
  <c r="AE212" i="1"/>
  <c r="AF212" i="1"/>
  <c r="AG212" i="1"/>
  <c r="AH212" i="1"/>
  <c r="AI212" i="1"/>
  <c r="AP212" i="1"/>
  <c r="AQ212" i="1"/>
  <c r="AR212" i="1"/>
  <c r="AS212" i="1"/>
  <c r="AU212" i="1"/>
  <c r="AV212" i="1"/>
  <c r="AX212" i="1"/>
  <c r="BK212" i="1"/>
  <c r="BL212" i="1"/>
  <c r="BM212" i="1"/>
  <c r="BP212" i="1"/>
  <c r="BR212" i="1"/>
  <c r="I173" i="1"/>
  <c r="J173" i="1"/>
  <c r="K173" i="1"/>
  <c r="L173" i="1"/>
  <c r="M173" i="1"/>
  <c r="N173" i="1"/>
  <c r="O173" i="1"/>
  <c r="P173" i="1"/>
  <c r="Q173" i="1"/>
  <c r="R173" i="1"/>
  <c r="S173" i="1"/>
  <c r="T173" i="1"/>
  <c r="U173" i="1"/>
  <c r="V173" i="1"/>
  <c r="W173" i="1"/>
  <c r="X173" i="1"/>
  <c r="Y173" i="1"/>
  <c r="Z173" i="1"/>
  <c r="AA173" i="1"/>
  <c r="AB173" i="1"/>
  <c r="AC173" i="1"/>
  <c r="AD173" i="1"/>
  <c r="AE173" i="1"/>
  <c r="AF173" i="1"/>
  <c r="AG173" i="1"/>
  <c r="AH173" i="1"/>
  <c r="AI173" i="1"/>
  <c r="AP173" i="1"/>
  <c r="AQ173" i="1"/>
  <c r="AR173" i="1"/>
  <c r="AS173" i="1"/>
  <c r="AU173" i="1"/>
  <c r="AV173" i="1"/>
  <c r="AX173" i="1"/>
  <c r="BK173" i="1"/>
  <c r="BL173" i="1"/>
  <c r="BM173" i="1"/>
  <c r="BP173" i="1"/>
  <c r="BR173" i="1"/>
  <c r="I163" i="1"/>
  <c r="J163" i="1"/>
  <c r="K163" i="1"/>
  <c r="L163" i="1"/>
  <c r="M163" i="1"/>
  <c r="N163" i="1"/>
  <c r="O163" i="1"/>
  <c r="P163" i="1"/>
  <c r="Q163" i="1"/>
  <c r="R163" i="1"/>
  <c r="S163" i="1"/>
  <c r="T163" i="1"/>
  <c r="U163" i="1"/>
  <c r="V163" i="1"/>
  <c r="W163" i="1"/>
  <c r="X163" i="1"/>
  <c r="Y163" i="1"/>
  <c r="Z163" i="1"/>
  <c r="AA163" i="1"/>
  <c r="AB163" i="1"/>
  <c r="AC163" i="1"/>
  <c r="AD163" i="1"/>
  <c r="AE163" i="1"/>
  <c r="AF163" i="1"/>
  <c r="AG163" i="1"/>
  <c r="AH163" i="1"/>
  <c r="AI163" i="1"/>
  <c r="AP163" i="1"/>
  <c r="AQ163" i="1"/>
  <c r="AR163" i="1"/>
  <c r="AS163" i="1"/>
  <c r="AU163" i="1"/>
  <c r="AV163" i="1"/>
  <c r="AX163" i="1"/>
  <c r="BK163" i="1"/>
  <c r="BL163" i="1"/>
  <c r="BM163" i="1"/>
  <c r="BP163" i="1"/>
  <c r="BR163" i="1"/>
  <c r="I164" i="1"/>
  <c r="J164" i="1"/>
  <c r="K164" i="1"/>
  <c r="L164" i="1"/>
  <c r="M164" i="1"/>
  <c r="N164" i="1"/>
  <c r="O164" i="1"/>
  <c r="P164" i="1"/>
  <c r="Q164" i="1"/>
  <c r="R164" i="1"/>
  <c r="S164" i="1"/>
  <c r="T164" i="1"/>
  <c r="U164" i="1"/>
  <c r="V164" i="1"/>
  <c r="W164" i="1"/>
  <c r="X164" i="1"/>
  <c r="Y164" i="1"/>
  <c r="Z164" i="1"/>
  <c r="AA164" i="1"/>
  <c r="AB164" i="1"/>
  <c r="AC164" i="1"/>
  <c r="AD164" i="1"/>
  <c r="AE164" i="1"/>
  <c r="AF164" i="1"/>
  <c r="AG164" i="1"/>
  <c r="AH164" i="1"/>
  <c r="AI164" i="1"/>
  <c r="AP164" i="1"/>
  <c r="AQ164" i="1"/>
  <c r="AR164" i="1"/>
  <c r="AS164" i="1"/>
  <c r="AU164" i="1"/>
  <c r="AV164" i="1"/>
  <c r="AX164" i="1"/>
  <c r="BK164" i="1"/>
  <c r="BL164" i="1"/>
  <c r="BM164" i="1"/>
  <c r="BP164" i="1"/>
  <c r="BR164" i="1"/>
  <c r="I165" i="1"/>
  <c r="J165" i="1"/>
  <c r="K165" i="1"/>
  <c r="L165" i="1"/>
  <c r="M165" i="1"/>
  <c r="N165" i="1"/>
  <c r="O165" i="1"/>
  <c r="P165" i="1"/>
  <c r="Q165" i="1"/>
  <c r="R165" i="1"/>
  <c r="S165" i="1"/>
  <c r="T165" i="1"/>
  <c r="U165" i="1"/>
  <c r="V165" i="1"/>
  <c r="W165" i="1"/>
  <c r="X165" i="1"/>
  <c r="Y165" i="1"/>
  <c r="Z165" i="1"/>
  <c r="AA165" i="1"/>
  <c r="AB165" i="1"/>
  <c r="AC165" i="1"/>
  <c r="AD165" i="1"/>
  <c r="AE165" i="1"/>
  <c r="AF165" i="1"/>
  <c r="AG165" i="1"/>
  <c r="AH165" i="1"/>
  <c r="AI165" i="1"/>
  <c r="AP165" i="1"/>
  <c r="AQ165" i="1"/>
  <c r="AR165" i="1"/>
  <c r="AS165" i="1"/>
  <c r="AU165" i="1"/>
  <c r="AV165" i="1"/>
  <c r="AX165" i="1"/>
  <c r="BK165" i="1"/>
  <c r="BL165" i="1"/>
  <c r="BM165" i="1"/>
  <c r="BP165" i="1"/>
  <c r="BR165" i="1"/>
  <c r="I166" i="1"/>
  <c r="J166" i="1"/>
  <c r="K166" i="1"/>
  <c r="L166" i="1"/>
  <c r="M166" i="1"/>
  <c r="N166" i="1"/>
  <c r="O166" i="1"/>
  <c r="P166" i="1"/>
  <c r="Q166" i="1"/>
  <c r="R166" i="1"/>
  <c r="S166" i="1"/>
  <c r="T166" i="1"/>
  <c r="U166" i="1"/>
  <c r="V166" i="1"/>
  <c r="W166" i="1"/>
  <c r="X166" i="1"/>
  <c r="Y166" i="1"/>
  <c r="Z166" i="1"/>
  <c r="AA166" i="1"/>
  <c r="AB166" i="1"/>
  <c r="AC166" i="1"/>
  <c r="AD166" i="1"/>
  <c r="AE166" i="1"/>
  <c r="AF166" i="1"/>
  <c r="AG166" i="1"/>
  <c r="AH166" i="1"/>
  <c r="AI166" i="1"/>
  <c r="AP166" i="1"/>
  <c r="AQ166" i="1"/>
  <c r="AR166" i="1"/>
  <c r="AS166" i="1"/>
  <c r="AU166" i="1"/>
  <c r="AV166" i="1"/>
  <c r="AX166" i="1"/>
  <c r="BK166" i="1"/>
  <c r="BL166" i="1"/>
  <c r="BM166" i="1"/>
  <c r="BP166" i="1"/>
  <c r="BR166" i="1"/>
  <c r="I167" i="1"/>
  <c r="J167" i="1"/>
  <c r="K167" i="1"/>
  <c r="L167" i="1"/>
  <c r="M167" i="1"/>
  <c r="N167" i="1"/>
  <c r="O167" i="1"/>
  <c r="P167" i="1"/>
  <c r="Q167" i="1"/>
  <c r="R167" i="1"/>
  <c r="S167" i="1"/>
  <c r="T167" i="1"/>
  <c r="U167" i="1"/>
  <c r="V167" i="1"/>
  <c r="W167" i="1"/>
  <c r="X167" i="1"/>
  <c r="Y167" i="1"/>
  <c r="Z167" i="1"/>
  <c r="AA167" i="1"/>
  <c r="AB167" i="1"/>
  <c r="AC167" i="1"/>
  <c r="AD167" i="1"/>
  <c r="AE167" i="1"/>
  <c r="AF167" i="1"/>
  <c r="AG167" i="1"/>
  <c r="AH167" i="1"/>
  <c r="AI167" i="1"/>
  <c r="AP167" i="1"/>
  <c r="AQ167" i="1"/>
  <c r="AR167" i="1"/>
  <c r="AS167" i="1"/>
  <c r="AU167" i="1"/>
  <c r="AV167" i="1"/>
  <c r="AX167" i="1"/>
  <c r="BK167" i="1"/>
  <c r="BL167" i="1"/>
  <c r="BM167" i="1"/>
  <c r="BP167" i="1"/>
  <c r="BR167" i="1"/>
  <c r="I168" i="1"/>
  <c r="J168" i="1"/>
  <c r="K168" i="1"/>
  <c r="L168" i="1"/>
  <c r="M168" i="1"/>
  <c r="N168" i="1"/>
  <c r="O168" i="1"/>
  <c r="P168" i="1"/>
  <c r="Q168" i="1"/>
  <c r="R168" i="1"/>
  <c r="S168" i="1"/>
  <c r="T168" i="1"/>
  <c r="U168" i="1"/>
  <c r="V168" i="1"/>
  <c r="W168" i="1"/>
  <c r="X168" i="1"/>
  <c r="Y168" i="1"/>
  <c r="Z168" i="1"/>
  <c r="AA168" i="1"/>
  <c r="AB168" i="1"/>
  <c r="AC168" i="1"/>
  <c r="AD168" i="1"/>
  <c r="AE168" i="1"/>
  <c r="AF168" i="1"/>
  <c r="AG168" i="1"/>
  <c r="AH168" i="1"/>
  <c r="AI168" i="1"/>
  <c r="AP168" i="1"/>
  <c r="AQ168" i="1"/>
  <c r="AR168" i="1"/>
  <c r="AS168" i="1"/>
  <c r="AU168" i="1"/>
  <c r="AV168" i="1"/>
  <c r="AX168" i="1"/>
  <c r="BK168" i="1"/>
  <c r="BL168" i="1"/>
  <c r="BM168" i="1"/>
  <c r="BP168" i="1"/>
  <c r="BR168" i="1"/>
  <c r="I169" i="1"/>
  <c r="J169" i="1"/>
  <c r="K169" i="1"/>
  <c r="L169" i="1"/>
  <c r="M169" i="1"/>
  <c r="N169" i="1"/>
  <c r="O169" i="1"/>
  <c r="P169" i="1"/>
  <c r="Q169" i="1"/>
  <c r="R169" i="1"/>
  <c r="S169" i="1"/>
  <c r="T169" i="1"/>
  <c r="U169" i="1"/>
  <c r="V169" i="1"/>
  <c r="W169" i="1"/>
  <c r="X169" i="1"/>
  <c r="Y169" i="1"/>
  <c r="Z169" i="1"/>
  <c r="AA169" i="1"/>
  <c r="AB169" i="1"/>
  <c r="AC169" i="1"/>
  <c r="AD169" i="1"/>
  <c r="AE169" i="1"/>
  <c r="AF169" i="1"/>
  <c r="AG169" i="1"/>
  <c r="AH169" i="1"/>
  <c r="AI169" i="1"/>
  <c r="AP169" i="1"/>
  <c r="AQ169" i="1"/>
  <c r="AR169" i="1"/>
  <c r="AS169" i="1"/>
  <c r="AU169" i="1"/>
  <c r="AV169" i="1"/>
  <c r="AX169" i="1"/>
  <c r="BK169" i="1"/>
  <c r="BL169" i="1"/>
  <c r="BM169" i="1"/>
  <c r="BP169" i="1"/>
  <c r="BR169" i="1"/>
  <c r="I170" i="1"/>
  <c r="J170" i="1"/>
  <c r="K170" i="1"/>
  <c r="L170" i="1"/>
  <c r="M170" i="1"/>
  <c r="N170" i="1"/>
  <c r="O170" i="1"/>
  <c r="P170" i="1"/>
  <c r="Q170" i="1"/>
  <c r="R170" i="1"/>
  <c r="S170" i="1"/>
  <c r="T170" i="1"/>
  <c r="U170" i="1"/>
  <c r="V170" i="1"/>
  <c r="W170" i="1"/>
  <c r="X170" i="1"/>
  <c r="Y170" i="1"/>
  <c r="Z170" i="1"/>
  <c r="AA170" i="1"/>
  <c r="AB170" i="1"/>
  <c r="AC170" i="1"/>
  <c r="AD170" i="1"/>
  <c r="AE170" i="1"/>
  <c r="AF170" i="1"/>
  <c r="AG170" i="1"/>
  <c r="AH170" i="1"/>
  <c r="AI170" i="1"/>
  <c r="AP170" i="1"/>
  <c r="AQ170" i="1"/>
  <c r="AR170" i="1"/>
  <c r="AS170" i="1"/>
  <c r="AU170" i="1"/>
  <c r="AV170" i="1"/>
  <c r="AX170" i="1"/>
  <c r="BK170" i="1"/>
  <c r="BL170" i="1"/>
  <c r="BM170" i="1"/>
  <c r="BP170" i="1"/>
  <c r="BR170" i="1"/>
  <c r="I159" i="1"/>
  <c r="J159" i="1"/>
  <c r="K159" i="1"/>
  <c r="L159" i="1"/>
  <c r="M159" i="1"/>
  <c r="N159" i="1"/>
  <c r="O159" i="1"/>
  <c r="P159" i="1"/>
  <c r="Q159" i="1"/>
  <c r="R159" i="1"/>
  <c r="S159" i="1"/>
  <c r="T159" i="1"/>
  <c r="U159" i="1"/>
  <c r="V159" i="1"/>
  <c r="W159" i="1"/>
  <c r="X159" i="1"/>
  <c r="Y159" i="1"/>
  <c r="Z159" i="1"/>
  <c r="AA159" i="1"/>
  <c r="AB159" i="1"/>
  <c r="AC159" i="1"/>
  <c r="AD159" i="1"/>
  <c r="AE159" i="1"/>
  <c r="AF159" i="1"/>
  <c r="AG159" i="1"/>
  <c r="AH159" i="1"/>
  <c r="AI159" i="1"/>
  <c r="AP159" i="1"/>
  <c r="AQ159" i="1"/>
  <c r="AR159" i="1"/>
  <c r="AS159" i="1"/>
  <c r="AU159" i="1"/>
  <c r="AV159" i="1"/>
  <c r="AX159" i="1"/>
  <c r="BK159" i="1"/>
  <c r="BL159" i="1"/>
  <c r="BM159" i="1"/>
  <c r="BP159" i="1"/>
  <c r="BR159" i="1"/>
  <c r="I160" i="1"/>
  <c r="J160" i="1"/>
  <c r="K160" i="1"/>
  <c r="L160" i="1"/>
  <c r="M160" i="1"/>
  <c r="N160" i="1"/>
  <c r="O160" i="1"/>
  <c r="P160" i="1"/>
  <c r="Q160" i="1"/>
  <c r="R160" i="1"/>
  <c r="S160" i="1"/>
  <c r="T160" i="1"/>
  <c r="U160" i="1"/>
  <c r="V160" i="1"/>
  <c r="W160" i="1"/>
  <c r="X160" i="1"/>
  <c r="Y160" i="1"/>
  <c r="Z160" i="1"/>
  <c r="AA160" i="1"/>
  <c r="AB160" i="1"/>
  <c r="AC160" i="1"/>
  <c r="AD160" i="1"/>
  <c r="AE160" i="1"/>
  <c r="AF160" i="1"/>
  <c r="AG160" i="1"/>
  <c r="AH160" i="1"/>
  <c r="AI160" i="1"/>
  <c r="AP160" i="1"/>
  <c r="AQ160" i="1"/>
  <c r="AR160" i="1"/>
  <c r="AS160" i="1"/>
  <c r="AU160" i="1"/>
  <c r="AV160" i="1"/>
  <c r="AX160" i="1"/>
  <c r="BK160" i="1"/>
  <c r="BL160" i="1"/>
  <c r="BM160" i="1"/>
  <c r="BP160" i="1"/>
  <c r="BR160" i="1"/>
  <c r="I161" i="1"/>
  <c r="J161" i="1"/>
  <c r="K161" i="1"/>
  <c r="L161" i="1"/>
  <c r="M161" i="1"/>
  <c r="N161" i="1"/>
  <c r="O161" i="1"/>
  <c r="P161" i="1"/>
  <c r="Q161" i="1"/>
  <c r="R161" i="1"/>
  <c r="S161" i="1"/>
  <c r="T161" i="1"/>
  <c r="U161" i="1"/>
  <c r="V161" i="1"/>
  <c r="W161" i="1"/>
  <c r="X161" i="1"/>
  <c r="Y161" i="1"/>
  <c r="Z161" i="1"/>
  <c r="AA161" i="1"/>
  <c r="AB161" i="1"/>
  <c r="AC161" i="1"/>
  <c r="AD161" i="1"/>
  <c r="AE161" i="1"/>
  <c r="AF161" i="1"/>
  <c r="AG161" i="1"/>
  <c r="AH161" i="1"/>
  <c r="AI161" i="1"/>
  <c r="AP161" i="1"/>
  <c r="AQ161" i="1"/>
  <c r="AR161" i="1"/>
  <c r="AS161" i="1"/>
  <c r="AU161" i="1"/>
  <c r="AV161" i="1"/>
  <c r="AX161" i="1"/>
  <c r="BK161" i="1"/>
  <c r="BL161" i="1"/>
  <c r="BM161" i="1"/>
  <c r="BP161" i="1"/>
  <c r="BR161" i="1"/>
  <c r="I162" i="1"/>
  <c r="J162" i="1"/>
  <c r="K162" i="1"/>
  <c r="L162" i="1"/>
  <c r="M162" i="1"/>
  <c r="N162" i="1"/>
  <c r="O162" i="1"/>
  <c r="P162" i="1"/>
  <c r="Q162" i="1"/>
  <c r="R162" i="1"/>
  <c r="S162" i="1"/>
  <c r="T162" i="1"/>
  <c r="U162" i="1"/>
  <c r="V162" i="1"/>
  <c r="W162" i="1"/>
  <c r="X162" i="1"/>
  <c r="Y162" i="1"/>
  <c r="Z162" i="1"/>
  <c r="AA162" i="1"/>
  <c r="AB162" i="1"/>
  <c r="AC162" i="1"/>
  <c r="AD162" i="1"/>
  <c r="AE162" i="1"/>
  <c r="AF162" i="1"/>
  <c r="AG162" i="1"/>
  <c r="AH162" i="1"/>
  <c r="AI162" i="1"/>
  <c r="AP162" i="1"/>
  <c r="AQ162" i="1"/>
  <c r="AR162" i="1"/>
  <c r="AS162" i="1"/>
  <c r="AU162" i="1"/>
  <c r="AV162" i="1"/>
  <c r="AX162" i="1"/>
  <c r="BK162" i="1"/>
  <c r="BL162" i="1"/>
  <c r="BM162" i="1"/>
  <c r="BP162" i="1"/>
  <c r="BR162" i="1"/>
  <c r="I187" i="1"/>
  <c r="J187" i="1"/>
  <c r="K187" i="1"/>
  <c r="L187" i="1"/>
  <c r="M187" i="1"/>
  <c r="N187" i="1"/>
  <c r="O187" i="1"/>
  <c r="P187" i="1"/>
  <c r="Q187" i="1"/>
  <c r="R187" i="1"/>
  <c r="S187" i="1"/>
  <c r="T187" i="1"/>
  <c r="U187" i="1"/>
  <c r="V187" i="1"/>
  <c r="W187" i="1"/>
  <c r="X187" i="1"/>
  <c r="Y187" i="1"/>
  <c r="Z187" i="1"/>
  <c r="AA187" i="1"/>
  <c r="AB187" i="1"/>
  <c r="AC187" i="1"/>
  <c r="AD187" i="1"/>
  <c r="AE187" i="1"/>
  <c r="AF187" i="1"/>
  <c r="AG187" i="1"/>
  <c r="AH187" i="1"/>
  <c r="AI187" i="1"/>
  <c r="AP187" i="1"/>
  <c r="AQ187" i="1"/>
  <c r="AR187" i="1"/>
  <c r="AS187" i="1"/>
  <c r="AU187" i="1"/>
  <c r="AV187" i="1"/>
  <c r="AX187" i="1"/>
  <c r="BK187" i="1"/>
  <c r="BL187" i="1"/>
  <c r="BM187" i="1"/>
  <c r="BP187" i="1"/>
  <c r="BR187" i="1"/>
  <c r="I188" i="1"/>
  <c r="J188" i="1"/>
  <c r="K188" i="1"/>
  <c r="L188" i="1"/>
  <c r="M188" i="1"/>
  <c r="N188" i="1"/>
  <c r="O188" i="1"/>
  <c r="P188" i="1"/>
  <c r="Q188" i="1"/>
  <c r="R188" i="1"/>
  <c r="S188" i="1"/>
  <c r="T188" i="1"/>
  <c r="U188" i="1"/>
  <c r="V188" i="1"/>
  <c r="W188" i="1"/>
  <c r="X188" i="1"/>
  <c r="Y188" i="1"/>
  <c r="Z188" i="1"/>
  <c r="AA188" i="1"/>
  <c r="AB188" i="1"/>
  <c r="AC188" i="1"/>
  <c r="AD188" i="1"/>
  <c r="AE188" i="1"/>
  <c r="AF188" i="1"/>
  <c r="AG188" i="1"/>
  <c r="AH188" i="1"/>
  <c r="AI188" i="1"/>
  <c r="AP188" i="1"/>
  <c r="AQ188" i="1"/>
  <c r="AR188" i="1"/>
  <c r="AS188" i="1"/>
  <c r="AU188" i="1"/>
  <c r="AV188" i="1"/>
  <c r="AX188" i="1"/>
  <c r="BK188" i="1"/>
  <c r="BL188" i="1"/>
  <c r="BM188" i="1"/>
  <c r="BP188" i="1"/>
  <c r="BR188" i="1"/>
  <c r="I189" i="1"/>
  <c r="J189" i="1"/>
  <c r="K189" i="1"/>
  <c r="L189" i="1"/>
  <c r="M189" i="1"/>
  <c r="N189" i="1"/>
  <c r="O189" i="1"/>
  <c r="P189" i="1"/>
  <c r="Q189" i="1"/>
  <c r="R189" i="1"/>
  <c r="S189" i="1"/>
  <c r="T189" i="1"/>
  <c r="U189" i="1"/>
  <c r="V189" i="1"/>
  <c r="W189" i="1"/>
  <c r="X189" i="1"/>
  <c r="Y189" i="1"/>
  <c r="Z189" i="1"/>
  <c r="AA189" i="1"/>
  <c r="AB189" i="1"/>
  <c r="AC189" i="1"/>
  <c r="AD189" i="1"/>
  <c r="AE189" i="1"/>
  <c r="AF189" i="1"/>
  <c r="AG189" i="1"/>
  <c r="AH189" i="1"/>
  <c r="AI189" i="1"/>
  <c r="AP189" i="1"/>
  <c r="AQ189" i="1"/>
  <c r="AR189" i="1"/>
  <c r="AS189" i="1"/>
  <c r="AU189" i="1"/>
  <c r="AV189" i="1"/>
  <c r="AX189" i="1"/>
  <c r="BK189" i="1"/>
  <c r="BL189" i="1"/>
  <c r="BM189" i="1"/>
  <c r="BP189" i="1"/>
  <c r="BR189" i="1"/>
  <c r="I190" i="1"/>
  <c r="J190" i="1"/>
  <c r="K190" i="1"/>
  <c r="L190" i="1"/>
  <c r="M190" i="1"/>
  <c r="N190" i="1"/>
  <c r="O190" i="1"/>
  <c r="P190" i="1"/>
  <c r="Q190" i="1"/>
  <c r="R190" i="1"/>
  <c r="S190" i="1"/>
  <c r="T190" i="1"/>
  <c r="U190" i="1"/>
  <c r="V190" i="1"/>
  <c r="W190" i="1"/>
  <c r="X190" i="1"/>
  <c r="Y190" i="1"/>
  <c r="Z190" i="1"/>
  <c r="AA190" i="1"/>
  <c r="AB190" i="1"/>
  <c r="AC190" i="1"/>
  <c r="AD190" i="1"/>
  <c r="AE190" i="1"/>
  <c r="AF190" i="1"/>
  <c r="AG190" i="1"/>
  <c r="AH190" i="1"/>
  <c r="AI190" i="1"/>
  <c r="AP190" i="1"/>
  <c r="AQ190" i="1"/>
  <c r="AR190" i="1"/>
  <c r="AS190" i="1"/>
  <c r="AU190" i="1"/>
  <c r="AV190" i="1"/>
  <c r="AX190" i="1"/>
  <c r="BK190" i="1"/>
  <c r="BL190" i="1"/>
  <c r="BM190" i="1"/>
  <c r="BP190" i="1"/>
  <c r="BR190" i="1"/>
  <c r="I191" i="1"/>
  <c r="J191" i="1"/>
  <c r="K191" i="1"/>
  <c r="L191" i="1"/>
  <c r="M191" i="1"/>
  <c r="N191" i="1"/>
  <c r="O191" i="1"/>
  <c r="P191" i="1"/>
  <c r="Q191" i="1"/>
  <c r="R191" i="1"/>
  <c r="S191" i="1"/>
  <c r="T191" i="1"/>
  <c r="U191" i="1"/>
  <c r="V191" i="1"/>
  <c r="W191" i="1"/>
  <c r="X191" i="1"/>
  <c r="Y191" i="1"/>
  <c r="Z191" i="1"/>
  <c r="AA191" i="1"/>
  <c r="AB191" i="1"/>
  <c r="AC191" i="1"/>
  <c r="AD191" i="1"/>
  <c r="AE191" i="1"/>
  <c r="AF191" i="1"/>
  <c r="AG191" i="1"/>
  <c r="AH191" i="1"/>
  <c r="AI191" i="1"/>
  <c r="AP191" i="1"/>
  <c r="AQ191" i="1"/>
  <c r="AR191" i="1"/>
  <c r="AS191" i="1"/>
  <c r="AU191" i="1"/>
  <c r="AV191" i="1"/>
  <c r="BK191" i="1"/>
  <c r="BL191" i="1"/>
  <c r="BM191" i="1"/>
  <c r="BP191" i="1"/>
  <c r="BR191" i="1"/>
  <c r="I192" i="1"/>
  <c r="J192" i="1"/>
  <c r="K192" i="1"/>
  <c r="L192" i="1"/>
  <c r="M192" i="1"/>
  <c r="N192" i="1"/>
  <c r="O192" i="1"/>
  <c r="P192" i="1"/>
  <c r="Q192" i="1"/>
  <c r="R192" i="1"/>
  <c r="S192" i="1"/>
  <c r="T192" i="1"/>
  <c r="U192" i="1"/>
  <c r="V192" i="1"/>
  <c r="W192" i="1"/>
  <c r="X192" i="1"/>
  <c r="Y192" i="1"/>
  <c r="Z192" i="1"/>
  <c r="AA192" i="1"/>
  <c r="AB192" i="1"/>
  <c r="AC192" i="1"/>
  <c r="AD192" i="1"/>
  <c r="AE192" i="1"/>
  <c r="AF192" i="1"/>
  <c r="AG192" i="1"/>
  <c r="AH192" i="1"/>
  <c r="AI192" i="1"/>
  <c r="AP192" i="1"/>
  <c r="AQ192" i="1"/>
  <c r="AR192" i="1"/>
  <c r="AS192" i="1"/>
  <c r="AU192" i="1"/>
  <c r="AV192" i="1"/>
  <c r="AX192" i="1"/>
  <c r="BK192" i="1"/>
  <c r="BL192" i="1"/>
  <c r="BM192" i="1"/>
  <c r="BP192" i="1"/>
  <c r="BR192" i="1"/>
  <c r="I193" i="1"/>
  <c r="J193" i="1"/>
  <c r="K193" i="1"/>
  <c r="L193" i="1"/>
  <c r="M193" i="1"/>
  <c r="N193" i="1"/>
  <c r="O193" i="1"/>
  <c r="P193" i="1"/>
  <c r="Q193" i="1"/>
  <c r="R193" i="1"/>
  <c r="S193" i="1"/>
  <c r="T193" i="1"/>
  <c r="U193" i="1"/>
  <c r="V193" i="1"/>
  <c r="W193" i="1"/>
  <c r="X193" i="1"/>
  <c r="Y193" i="1"/>
  <c r="Z193" i="1"/>
  <c r="AA193" i="1"/>
  <c r="AB193" i="1"/>
  <c r="AC193" i="1"/>
  <c r="AD193" i="1"/>
  <c r="AE193" i="1"/>
  <c r="AF193" i="1"/>
  <c r="AG193" i="1"/>
  <c r="AH193" i="1"/>
  <c r="AI193" i="1"/>
  <c r="AP193" i="1"/>
  <c r="AQ193" i="1"/>
  <c r="AR193" i="1"/>
  <c r="AS193" i="1"/>
  <c r="AU193" i="1"/>
  <c r="AV193" i="1"/>
  <c r="AX193" i="1"/>
  <c r="BK193" i="1"/>
  <c r="BL193" i="1"/>
  <c r="BM193" i="1"/>
  <c r="BP193" i="1"/>
  <c r="BR193" i="1"/>
  <c r="I194" i="1"/>
  <c r="J194" i="1"/>
  <c r="K194" i="1"/>
  <c r="L194" i="1"/>
  <c r="M194" i="1"/>
  <c r="N194" i="1"/>
  <c r="O194" i="1"/>
  <c r="P194" i="1"/>
  <c r="Q194" i="1"/>
  <c r="R194" i="1"/>
  <c r="S194" i="1"/>
  <c r="T194" i="1"/>
  <c r="U194" i="1"/>
  <c r="V194" i="1"/>
  <c r="W194" i="1"/>
  <c r="X194" i="1"/>
  <c r="Y194" i="1"/>
  <c r="Z194" i="1"/>
  <c r="AA194" i="1"/>
  <c r="AB194" i="1"/>
  <c r="AC194" i="1"/>
  <c r="AD194" i="1"/>
  <c r="AE194" i="1"/>
  <c r="AF194" i="1"/>
  <c r="AG194" i="1"/>
  <c r="AH194" i="1"/>
  <c r="AI194" i="1"/>
  <c r="AP194" i="1"/>
  <c r="AQ194" i="1"/>
  <c r="AR194" i="1"/>
  <c r="AS194" i="1"/>
  <c r="AU194" i="1"/>
  <c r="AV194" i="1"/>
  <c r="AX194" i="1"/>
  <c r="BK194" i="1"/>
  <c r="BL194" i="1"/>
  <c r="BM194" i="1"/>
  <c r="BP194" i="1"/>
  <c r="BR194" i="1"/>
  <c r="I195" i="1"/>
  <c r="J195" i="1"/>
  <c r="K195" i="1"/>
  <c r="L195" i="1"/>
  <c r="M195" i="1"/>
  <c r="N195" i="1"/>
  <c r="O195" i="1"/>
  <c r="P195" i="1"/>
  <c r="Q195" i="1"/>
  <c r="R195" i="1"/>
  <c r="S195" i="1"/>
  <c r="T195" i="1"/>
  <c r="U195" i="1"/>
  <c r="V195" i="1"/>
  <c r="W195" i="1"/>
  <c r="X195" i="1"/>
  <c r="Y195" i="1"/>
  <c r="Z195" i="1"/>
  <c r="AA195" i="1"/>
  <c r="AB195" i="1"/>
  <c r="AC195" i="1"/>
  <c r="AD195" i="1"/>
  <c r="AE195" i="1"/>
  <c r="AF195" i="1"/>
  <c r="AG195" i="1"/>
  <c r="AH195" i="1"/>
  <c r="AI195" i="1"/>
  <c r="AP195" i="1"/>
  <c r="AQ195" i="1"/>
  <c r="AR195" i="1"/>
  <c r="AS195" i="1"/>
  <c r="AU195" i="1"/>
  <c r="AV195" i="1"/>
  <c r="AX195" i="1"/>
  <c r="BK195" i="1"/>
  <c r="BL195" i="1"/>
  <c r="BM195" i="1"/>
  <c r="BP195" i="1"/>
  <c r="BR195" i="1"/>
  <c r="I196" i="1"/>
  <c r="J196" i="1"/>
  <c r="K196" i="1"/>
  <c r="L196" i="1"/>
  <c r="M196" i="1"/>
  <c r="N196" i="1"/>
  <c r="O196" i="1"/>
  <c r="P196" i="1"/>
  <c r="Q196" i="1"/>
  <c r="R196" i="1"/>
  <c r="S196" i="1"/>
  <c r="T196" i="1"/>
  <c r="U196" i="1"/>
  <c r="V196" i="1"/>
  <c r="W196" i="1"/>
  <c r="X196" i="1"/>
  <c r="Y196" i="1"/>
  <c r="Z196" i="1"/>
  <c r="AA196" i="1"/>
  <c r="AB196" i="1"/>
  <c r="AC196" i="1"/>
  <c r="AD196" i="1"/>
  <c r="AE196" i="1"/>
  <c r="AF196" i="1"/>
  <c r="AG196" i="1"/>
  <c r="AH196" i="1"/>
  <c r="AI196" i="1"/>
  <c r="AP196" i="1"/>
  <c r="AQ196" i="1"/>
  <c r="AR196" i="1"/>
  <c r="AS196" i="1"/>
  <c r="AU196" i="1"/>
  <c r="AV196" i="1"/>
  <c r="AX196" i="1"/>
  <c r="BK196" i="1"/>
  <c r="BL196" i="1"/>
  <c r="BM196" i="1"/>
  <c r="BP196" i="1"/>
  <c r="BR196" i="1"/>
  <c r="I197" i="1"/>
  <c r="J197" i="1"/>
  <c r="K197" i="1"/>
  <c r="L197" i="1"/>
  <c r="M197" i="1"/>
  <c r="N197" i="1"/>
  <c r="O197" i="1"/>
  <c r="P197" i="1"/>
  <c r="Q197" i="1"/>
  <c r="R197" i="1"/>
  <c r="S197" i="1"/>
  <c r="T197" i="1"/>
  <c r="U197" i="1"/>
  <c r="V197" i="1"/>
  <c r="W197" i="1"/>
  <c r="X197" i="1"/>
  <c r="Y197" i="1"/>
  <c r="Z197" i="1"/>
  <c r="AA197" i="1"/>
  <c r="AB197" i="1"/>
  <c r="AC197" i="1"/>
  <c r="AD197" i="1"/>
  <c r="AE197" i="1"/>
  <c r="AF197" i="1"/>
  <c r="AG197" i="1"/>
  <c r="AH197" i="1"/>
  <c r="AI197" i="1"/>
  <c r="AP197" i="1"/>
  <c r="AQ197" i="1"/>
  <c r="AR197" i="1"/>
  <c r="AS197" i="1"/>
  <c r="AU197" i="1"/>
  <c r="AV197" i="1"/>
  <c r="AX197" i="1"/>
  <c r="BK197" i="1"/>
  <c r="BL197" i="1"/>
  <c r="BM197" i="1"/>
  <c r="BP197" i="1"/>
  <c r="BR197" i="1"/>
  <c r="I198" i="1"/>
  <c r="J198" i="1"/>
  <c r="K198" i="1"/>
  <c r="L198" i="1"/>
  <c r="M198" i="1"/>
  <c r="N198" i="1"/>
  <c r="O198" i="1"/>
  <c r="P198" i="1"/>
  <c r="Q198" i="1"/>
  <c r="R198" i="1"/>
  <c r="S198" i="1"/>
  <c r="T198" i="1"/>
  <c r="U198" i="1"/>
  <c r="V198" i="1"/>
  <c r="W198" i="1"/>
  <c r="X198" i="1"/>
  <c r="Y198" i="1"/>
  <c r="Z198" i="1"/>
  <c r="AA198" i="1"/>
  <c r="AB198" i="1"/>
  <c r="AC198" i="1"/>
  <c r="AD198" i="1"/>
  <c r="AE198" i="1"/>
  <c r="AF198" i="1"/>
  <c r="AG198" i="1"/>
  <c r="AH198" i="1"/>
  <c r="AI198" i="1"/>
  <c r="AP198" i="1"/>
  <c r="AQ198" i="1"/>
  <c r="AR198" i="1"/>
  <c r="AS198" i="1"/>
  <c r="AU198" i="1"/>
  <c r="AV198" i="1"/>
  <c r="AX198" i="1"/>
  <c r="BK198" i="1"/>
  <c r="BL198" i="1"/>
  <c r="BM198" i="1"/>
  <c r="BP198" i="1"/>
  <c r="BR198" i="1"/>
  <c r="I199" i="1"/>
  <c r="J199" i="1"/>
  <c r="K199" i="1"/>
  <c r="L199" i="1"/>
  <c r="M199" i="1"/>
  <c r="N199" i="1"/>
  <c r="O199" i="1"/>
  <c r="P199" i="1"/>
  <c r="Q199" i="1"/>
  <c r="R199" i="1"/>
  <c r="S199" i="1"/>
  <c r="T199" i="1"/>
  <c r="U199" i="1"/>
  <c r="V199" i="1"/>
  <c r="W199" i="1"/>
  <c r="X199" i="1"/>
  <c r="Y199" i="1"/>
  <c r="Z199" i="1"/>
  <c r="AA199" i="1"/>
  <c r="AB199" i="1"/>
  <c r="AC199" i="1"/>
  <c r="AD199" i="1"/>
  <c r="AE199" i="1"/>
  <c r="AF199" i="1"/>
  <c r="AG199" i="1"/>
  <c r="AH199" i="1"/>
  <c r="AI199" i="1"/>
  <c r="AP199" i="1"/>
  <c r="AQ199" i="1"/>
  <c r="AR199" i="1"/>
  <c r="AS199" i="1"/>
  <c r="AU199" i="1"/>
  <c r="AV199" i="1"/>
  <c r="AX199" i="1"/>
  <c r="BK199" i="1"/>
  <c r="BL199" i="1"/>
  <c r="BM199" i="1"/>
  <c r="BP199" i="1"/>
  <c r="BR199" i="1"/>
  <c r="I200" i="1"/>
  <c r="J200" i="1"/>
  <c r="K200" i="1"/>
  <c r="L200" i="1"/>
  <c r="M200" i="1"/>
  <c r="N200" i="1"/>
  <c r="O200" i="1"/>
  <c r="P200" i="1"/>
  <c r="Q200" i="1"/>
  <c r="R200" i="1"/>
  <c r="S200" i="1"/>
  <c r="T200" i="1"/>
  <c r="U200" i="1"/>
  <c r="V200" i="1"/>
  <c r="W200" i="1"/>
  <c r="X200" i="1"/>
  <c r="Y200" i="1"/>
  <c r="Z200" i="1"/>
  <c r="AA200" i="1"/>
  <c r="AB200" i="1"/>
  <c r="AC200" i="1"/>
  <c r="AD200" i="1"/>
  <c r="AE200" i="1"/>
  <c r="AF200" i="1"/>
  <c r="AG200" i="1"/>
  <c r="AH200" i="1"/>
  <c r="AI200" i="1"/>
  <c r="AP200" i="1"/>
  <c r="AQ200" i="1"/>
  <c r="AR200" i="1"/>
  <c r="AS200" i="1"/>
  <c r="AU200" i="1"/>
  <c r="AV200" i="1"/>
  <c r="AX200" i="1"/>
  <c r="BK200" i="1"/>
  <c r="BL200" i="1"/>
  <c r="BM200" i="1"/>
  <c r="BP200" i="1"/>
  <c r="BR200" i="1"/>
  <c r="I201" i="1"/>
  <c r="J201" i="1"/>
  <c r="K201" i="1"/>
  <c r="L201" i="1"/>
  <c r="M201" i="1"/>
  <c r="N201" i="1"/>
  <c r="O201" i="1"/>
  <c r="P201" i="1"/>
  <c r="Q201" i="1"/>
  <c r="R201" i="1"/>
  <c r="S201" i="1"/>
  <c r="T201" i="1"/>
  <c r="U201" i="1"/>
  <c r="V201" i="1"/>
  <c r="W201" i="1"/>
  <c r="X201" i="1"/>
  <c r="Y201" i="1"/>
  <c r="Z201" i="1"/>
  <c r="AA201" i="1"/>
  <c r="AB201" i="1"/>
  <c r="AC201" i="1"/>
  <c r="AD201" i="1"/>
  <c r="AE201" i="1"/>
  <c r="AF201" i="1"/>
  <c r="AG201" i="1"/>
  <c r="AH201" i="1"/>
  <c r="AI201" i="1"/>
  <c r="AP201" i="1"/>
  <c r="AQ201" i="1"/>
  <c r="AR201" i="1"/>
  <c r="AS201" i="1"/>
  <c r="AU201" i="1"/>
  <c r="AV201" i="1"/>
  <c r="AX201" i="1"/>
  <c r="BK201" i="1"/>
  <c r="BL201" i="1"/>
  <c r="BM201" i="1"/>
  <c r="BP201" i="1"/>
  <c r="BR201" i="1"/>
  <c r="I202" i="1"/>
  <c r="J202" i="1"/>
  <c r="K202" i="1"/>
  <c r="L202" i="1"/>
  <c r="M202" i="1"/>
  <c r="N202" i="1"/>
  <c r="O202" i="1"/>
  <c r="P202" i="1"/>
  <c r="Q202" i="1"/>
  <c r="R202" i="1"/>
  <c r="S202" i="1"/>
  <c r="T202" i="1"/>
  <c r="U202" i="1"/>
  <c r="V202" i="1"/>
  <c r="W202" i="1"/>
  <c r="X202" i="1"/>
  <c r="Y202" i="1"/>
  <c r="Z202" i="1"/>
  <c r="AA202" i="1"/>
  <c r="AB202" i="1"/>
  <c r="AC202" i="1"/>
  <c r="AD202" i="1"/>
  <c r="AE202" i="1"/>
  <c r="AF202" i="1"/>
  <c r="AG202" i="1"/>
  <c r="AH202" i="1"/>
  <c r="AI202" i="1"/>
  <c r="AP202" i="1"/>
  <c r="AQ202" i="1"/>
  <c r="AR202" i="1"/>
  <c r="AS202" i="1"/>
  <c r="AU202" i="1"/>
  <c r="AV202" i="1"/>
  <c r="AX202" i="1"/>
  <c r="BK202" i="1"/>
  <c r="BL202" i="1"/>
  <c r="BM202" i="1"/>
  <c r="BP202" i="1"/>
  <c r="BR202" i="1"/>
  <c r="I203" i="1"/>
  <c r="J203" i="1"/>
  <c r="K203" i="1"/>
  <c r="L203" i="1"/>
  <c r="M203" i="1"/>
  <c r="N203" i="1"/>
  <c r="O203" i="1"/>
  <c r="P203" i="1"/>
  <c r="Q203" i="1"/>
  <c r="R203" i="1"/>
  <c r="S203" i="1"/>
  <c r="T203" i="1"/>
  <c r="U203" i="1"/>
  <c r="V203" i="1"/>
  <c r="W203" i="1"/>
  <c r="X203" i="1"/>
  <c r="Y203" i="1"/>
  <c r="Z203" i="1"/>
  <c r="AA203" i="1"/>
  <c r="AB203" i="1"/>
  <c r="AC203" i="1"/>
  <c r="AD203" i="1"/>
  <c r="AE203" i="1"/>
  <c r="AF203" i="1"/>
  <c r="AG203" i="1"/>
  <c r="AH203" i="1"/>
  <c r="AI203" i="1"/>
  <c r="AP203" i="1"/>
  <c r="AQ203" i="1"/>
  <c r="AR203" i="1"/>
  <c r="AS203" i="1"/>
  <c r="AU203" i="1"/>
  <c r="AV203" i="1"/>
  <c r="AX203" i="1"/>
  <c r="BK203" i="1"/>
  <c r="BL203" i="1"/>
  <c r="BM203" i="1"/>
  <c r="BP203" i="1"/>
  <c r="BR203" i="1"/>
  <c r="I204" i="1"/>
  <c r="J204" i="1"/>
  <c r="K204" i="1"/>
  <c r="L204" i="1"/>
  <c r="M204" i="1"/>
  <c r="N204" i="1"/>
  <c r="O204" i="1"/>
  <c r="P204" i="1"/>
  <c r="Q204" i="1"/>
  <c r="R204" i="1"/>
  <c r="S204" i="1"/>
  <c r="T204" i="1"/>
  <c r="U204" i="1"/>
  <c r="V204" i="1"/>
  <c r="W204" i="1"/>
  <c r="X204" i="1"/>
  <c r="Y204" i="1"/>
  <c r="Z204" i="1"/>
  <c r="AA204" i="1"/>
  <c r="AB204" i="1"/>
  <c r="AC204" i="1"/>
  <c r="AD204" i="1"/>
  <c r="AE204" i="1"/>
  <c r="AF204" i="1"/>
  <c r="AG204" i="1"/>
  <c r="AH204" i="1"/>
  <c r="AI204" i="1"/>
  <c r="AP204" i="1"/>
  <c r="AQ204" i="1"/>
  <c r="AR204" i="1"/>
  <c r="AS204" i="1"/>
  <c r="AU204" i="1"/>
  <c r="AV204" i="1"/>
  <c r="AX204" i="1"/>
  <c r="BK204" i="1"/>
  <c r="BL204" i="1"/>
  <c r="BM204" i="1"/>
  <c r="BP204" i="1"/>
  <c r="BR204" i="1"/>
  <c r="I205" i="1"/>
  <c r="J205" i="1"/>
  <c r="K205" i="1"/>
  <c r="L205" i="1"/>
  <c r="M205" i="1"/>
  <c r="N205" i="1"/>
  <c r="O205" i="1"/>
  <c r="P205" i="1"/>
  <c r="Q205" i="1"/>
  <c r="R205" i="1"/>
  <c r="S205" i="1"/>
  <c r="T205" i="1"/>
  <c r="U205" i="1"/>
  <c r="V205" i="1"/>
  <c r="W205" i="1"/>
  <c r="X205" i="1"/>
  <c r="Y205" i="1"/>
  <c r="Z205" i="1"/>
  <c r="AA205" i="1"/>
  <c r="AB205" i="1"/>
  <c r="AC205" i="1"/>
  <c r="AD205" i="1"/>
  <c r="AE205" i="1"/>
  <c r="AF205" i="1"/>
  <c r="AG205" i="1"/>
  <c r="AH205" i="1"/>
  <c r="AI205" i="1"/>
  <c r="AP205" i="1"/>
  <c r="AQ205" i="1"/>
  <c r="AR205" i="1"/>
  <c r="AS205" i="1"/>
  <c r="AU205" i="1"/>
  <c r="AV205" i="1"/>
  <c r="AX205" i="1"/>
  <c r="BK205" i="1"/>
  <c r="BL205" i="1"/>
  <c r="BM205" i="1"/>
  <c r="BP205" i="1"/>
  <c r="BR205" i="1"/>
  <c r="I206" i="1"/>
  <c r="J206" i="1"/>
  <c r="K206" i="1"/>
  <c r="L206" i="1"/>
  <c r="M206" i="1"/>
  <c r="N206" i="1"/>
  <c r="O206" i="1"/>
  <c r="P206" i="1"/>
  <c r="Q206" i="1"/>
  <c r="R206" i="1"/>
  <c r="S206" i="1"/>
  <c r="T206" i="1"/>
  <c r="U206" i="1"/>
  <c r="V206" i="1"/>
  <c r="W206" i="1"/>
  <c r="X206" i="1"/>
  <c r="Y206" i="1"/>
  <c r="Z206" i="1"/>
  <c r="AA206" i="1"/>
  <c r="AB206" i="1"/>
  <c r="AC206" i="1"/>
  <c r="AD206" i="1"/>
  <c r="AE206" i="1"/>
  <c r="AF206" i="1"/>
  <c r="AG206" i="1"/>
  <c r="AH206" i="1"/>
  <c r="AI206" i="1"/>
  <c r="AP206" i="1"/>
  <c r="AQ206" i="1"/>
  <c r="AR206" i="1"/>
  <c r="AS206" i="1"/>
  <c r="AU206" i="1"/>
  <c r="AV206" i="1"/>
  <c r="AX206" i="1"/>
  <c r="BK206" i="1"/>
  <c r="BL206" i="1"/>
  <c r="BM206" i="1"/>
  <c r="BP206" i="1"/>
  <c r="BR206" i="1"/>
  <c r="I207" i="1"/>
  <c r="J207" i="1"/>
  <c r="K207" i="1"/>
  <c r="L207" i="1"/>
  <c r="M207" i="1"/>
  <c r="N207" i="1"/>
  <c r="O207" i="1"/>
  <c r="P207" i="1"/>
  <c r="Q207" i="1"/>
  <c r="R207" i="1"/>
  <c r="S207" i="1"/>
  <c r="T207" i="1"/>
  <c r="U207" i="1"/>
  <c r="V207" i="1"/>
  <c r="W207" i="1"/>
  <c r="X207" i="1"/>
  <c r="Y207" i="1"/>
  <c r="Z207" i="1"/>
  <c r="AA207" i="1"/>
  <c r="AB207" i="1"/>
  <c r="AC207" i="1"/>
  <c r="AD207" i="1"/>
  <c r="AE207" i="1"/>
  <c r="AF207" i="1"/>
  <c r="AG207" i="1"/>
  <c r="AH207" i="1"/>
  <c r="AI207" i="1"/>
  <c r="AP207" i="1"/>
  <c r="AQ207" i="1"/>
  <c r="AR207" i="1"/>
  <c r="AS207" i="1"/>
  <c r="AU207" i="1"/>
  <c r="AV207" i="1"/>
  <c r="AX207" i="1"/>
  <c r="BK207" i="1"/>
  <c r="BL207" i="1"/>
  <c r="BM207" i="1"/>
  <c r="BP207" i="1"/>
  <c r="BR207" i="1"/>
  <c r="I208" i="1"/>
  <c r="J208" i="1"/>
  <c r="K208" i="1"/>
  <c r="L208" i="1"/>
  <c r="M208" i="1"/>
  <c r="N208" i="1"/>
  <c r="O208" i="1"/>
  <c r="P208" i="1"/>
  <c r="Q208" i="1"/>
  <c r="R208" i="1"/>
  <c r="S208" i="1"/>
  <c r="T208" i="1"/>
  <c r="U208" i="1"/>
  <c r="V208" i="1"/>
  <c r="W208" i="1"/>
  <c r="X208" i="1"/>
  <c r="Y208" i="1"/>
  <c r="Z208" i="1"/>
  <c r="AA208" i="1"/>
  <c r="AB208" i="1"/>
  <c r="AC208" i="1"/>
  <c r="AD208" i="1"/>
  <c r="AE208" i="1"/>
  <c r="AF208" i="1"/>
  <c r="AG208" i="1"/>
  <c r="AH208" i="1"/>
  <c r="AI208" i="1"/>
  <c r="AP208" i="1"/>
  <c r="AQ208" i="1"/>
  <c r="AR208" i="1"/>
  <c r="AS208" i="1"/>
  <c r="AU208" i="1"/>
  <c r="AV208" i="1"/>
  <c r="AX208" i="1"/>
  <c r="BK208" i="1"/>
  <c r="BL208" i="1"/>
  <c r="BM208" i="1"/>
  <c r="BP208" i="1"/>
  <c r="BR208" i="1"/>
  <c r="I147" i="1"/>
  <c r="J147" i="1"/>
  <c r="K147" i="1"/>
  <c r="L147" i="1"/>
  <c r="M147" i="1"/>
  <c r="N147" i="1"/>
  <c r="O147" i="1"/>
  <c r="P147" i="1"/>
  <c r="Q147" i="1"/>
  <c r="R147" i="1"/>
  <c r="S147" i="1"/>
  <c r="T147" i="1"/>
  <c r="U147" i="1"/>
  <c r="V147" i="1"/>
  <c r="W147" i="1"/>
  <c r="X147" i="1"/>
  <c r="Y147" i="1"/>
  <c r="Z147" i="1"/>
  <c r="AA147" i="1"/>
  <c r="AB147" i="1"/>
  <c r="AC147" i="1"/>
  <c r="AD147" i="1"/>
  <c r="AE147" i="1"/>
  <c r="AF147" i="1"/>
  <c r="AG147" i="1"/>
  <c r="AH147" i="1"/>
  <c r="AI147" i="1"/>
  <c r="AP147" i="1"/>
  <c r="AQ147" i="1"/>
  <c r="AR147" i="1"/>
  <c r="AS147" i="1"/>
  <c r="AU147" i="1"/>
  <c r="AV147" i="1"/>
  <c r="AX147" i="1"/>
  <c r="BK147" i="1"/>
  <c r="BL147" i="1"/>
  <c r="BM147" i="1"/>
  <c r="BP147" i="1"/>
  <c r="BR147" i="1"/>
  <c r="I209" i="1"/>
  <c r="J209" i="1"/>
  <c r="K209" i="1"/>
  <c r="L209" i="1"/>
  <c r="M209" i="1"/>
  <c r="N209" i="1"/>
  <c r="O209" i="1"/>
  <c r="P209" i="1"/>
  <c r="Q209" i="1"/>
  <c r="R209" i="1"/>
  <c r="S209" i="1"/>
  <c r="T209" i="1"/>
  <c r="U209" i="1"/>
  <c r="V209" i="1"/>
  <c r="W209" i="1"/>
  <c r="X209" i="1"/>
  <c r="Y209" i="1"/>
  <c r="Z209" i="1"/>
  <c r="AA209" i="1"/>
  <c r="AB209" i="1"/>
  <c r="AC209" i="1"/>
  <c r="AD209" i="1"/>
  <c r="AE209" i="1"/>
  <c r="AF209" i="1"/>
  <c r="AG209" i="1"/>
  <c r="AH209" i="1"/>
  <c r="AI209" i="1"/>
  <c r="AP209" i="1"/>
  <c r="AQ209" i="1"/>
  <c r="AR209" i="1"/>
  <c r="AS209" i="1"/>
  <c r="AU209" i="1"/>
  <c r="AV209" i="1"/>
  <c r="AX209" i="1"/>
  <c r="BK209" i="1"/>
  <c r="BL209" i="1"/>
  <c r="BM209" i="1"/>
  <c r="BP209" i="1"/>
  <c r="BR209" i="1"/>
  <c r="I181" i="1"/>
  <c r="J181" i="1"/>
  <c r="K181" i="1"/>
  <c r="L181" i="1"/>
  <c r="M181" i="1"/>
  <c r="N181" i="1"/>
  <c r="O181" i="1"/>
  <c r="P181" i="1"/>
  <c r="Q181" i="1"/>
  <c r="R181" i="1"/>
  <c r="S181" i="1"/>
  <c r="T181" i="1"/>
  <c r="U181" i="1"/>
  <c r="V181" i="1"/>
  <c r="W181" i="1"/>
  <c r="X181" i="1"/>
  <c r="Y181" i="1"/>
  <c r="Z181" i="1"/>
  <c r="AA181" i="1"/>
  <c r="AB181" i="1"/>
  <c r="AC181" i="1"/>
  <c r="AD181" i="1"/>
  <c r="AE181" i="1"/>
  <c r="AF181" i="1"/>
  <c r="AG181" i="1"/>
  <c r="AH181" i="1"/>
  <c r="AI181" i="1"/>
  <c r="AP181" i="1"/>
  <c r="AQ181" i="1"/>
  <c r="AR181" i="1"/>
  <c r="AS181" i="1"/>
  <c r="AU181" i="1"/>
  <c r="AV181" i="1"/>
  <c r="AX181" i="1"/>
  <c r="BK181" i="1"/>
  <c r="BL181" i="1"/>
  <c r="BM181" i="1"/>
  <c r="BP181" i="1"/>
  <c r="BR181" i="1"/>
  <c r="I182" i="1"/>
  <c r="J182" i="1"/>
  <c r="K182" i="1"/>
  <c r="L182" i="1"/>
  <c r="M182" i="1"/>
  <c r="N182" i="1"/>
  <c r="O182" i="1"/>
  <c r="P182" i="1"/>
  <c r="Q182" i="1"/>
  <c r="R182" i="1"/>
  <c r="S182" i="1"/>
  <c r="T182" i="1"/>
  <c r="U182" i="1"/>
  <c r="V182" i="1"/>
  <c r="W182" i="1"/>
  <c r="X182" i="1"/>
  <c r="Y182" i="1"/>
  <c r="Z182" i="1"/>
  <c r="AA182" i="1"/>
  <c r="AB182" i="1"/>
  <c r="AC182" i="1"/>
  <c r="AD182" i="1"/>
  <c r="AE182" i="1"/>
  <c r="AF182" i="1"/>
  <c r="AG182" i="1"/>
  <c r="AH182" i="1"/>
  <c r="AI182" i="1"/>
  <c r="AP182" i="1"/>
  <c r="AQ182" i="1"/>
  <c r="AR182" i="1"/>
  <c r="AS182" i="1"/>
  <c r="AU182" i="1"/>
  <c r="AV182" i="1"/>
  <c r="AX182" i="1"/>
  <c r="BK182" i="1"/>
  <c r="BL182" i="1"/>
  <c r="BM182" i="1"/>
  <c r="BP182" i="1"/>
  <c r="BR182" i="1"/>
  <c r="I183" i="1"/>
  <c r="J183" i="1"/>
  <c r="K183" i="1"/>
  <c r="L183" i="1"/>
  <c r="M183" i="1"/>
  <c r="N183" i="1"/>
  <c r="O183" i="1"/>
  <c r="P183" i="1"/>
  <c r="Q183" i="1"/>
  <c r="R183" i="1"/>
  <c r="S183" i="1"/>
  <c r="T183" i="1"/>
  <c r="U183" i="1"/>
  <c r="V183" i="1"/>
  <c r="W183" i="1"/>
  <c r="X183" i="1"/>
  <c r="Y183" i="1"/>
  <c r="Z183" i="1"/>
  <c r="AA183" i="1"/>
  <c r="AB183" i="1"/>
  <c r="AC183" i="1"/>
  <c r="AD183" i="1"/>
  <c r="AE183" i="1"/>
  <c r="AF183" i="1"/>
  <c r="AG183" i="1"/>
  <c r="AH183" i="1"/>
  <c r="AI183" i="1"/>
  <c r="AP183" i="1"/>
  <c r="AQ183" i="1"/>
  <c r="AR183" i="1"/>
  <c r="AS183" i="1"/>
  <c r="AU183" i="1"/>
  <c r="AV183" i="1"/>
  <c r="AX183" i="1"/>
  <c r="BK183" i="1"/>
  <c r="BL183" i="1"/>
  <c r="BM183" i="1"/>
  <c r="BP183" i="1"/>
  <c r="BR183" i="1"/>
  <c r="I184" i="1"/>
  <c r="J184" i="1"/>
  <c r="K184" i="1"/>
  <c r="L184" i="1"/>
  <c r="M184" i="1"/>
  <c r="N184" i="1"/>
  <c r="O184" i="1"/>
  <c r="P184" i="1"/>
  <c r="Q184" i="1"/>
  <c r="R184" i="1"/>
  <c r="S184" i="1"/>
  <c r="T184" i="1"/>
  <c r="U184" i="1"/>
  <c r="V184" i="1"/>
  <c r="W184" i="1"/>
  <c r="X184" i="1"/>
  <c r="Y184" i="1"/>
  <c r="Z184" i="1"/>
  <c r="AA184" i="1"/>
  <c r="AB184" i="1"/>
  <c r="AC184" i="1"/>
  <c r="AD184" i="1"/>
  <c r="AE184" i="1"/>
  <c r="AF184" i="1"/>
  <c r="AG184" i="1"/>
  <c r="AH184" i="1"/>
  <c r="AI184" i="1"/>
  <c r="AP184" i="1"/>
  <c r="AQ184" i="1"/>
  <c r="AR184" i="1"/>
  <c r="AS184" i="1"/>
  <c r="AU184" i="1"/>
  <c r="AV184" i="1"/>
  <c r="AX184" i="1"/>
  <c r="BK184" i="1"/>
  <c r="BL184" i="1"/>
  <c r="BM184" i="1"/>
  <c r="BP184" i="1"/>
  <c r="BR184" i="1"/>
  <c r="I185" i="1"/>
  <c r="J185" i="1"/>
  <c r="K185" i="1"/>
  <c r="L185" i="1"/>
  <c r="M185" i="1"/>
  <c r="N185" i="1"/>
  <c r="O185" i="1"/>
  <c r="P185" i="1"/>
  <c r="Q185" i="1"/>
  <c r="R185" i="1"/>
  <c r="S185" i="1"/>
  <c r="T185" i="1"/>
  <c r="U185" i="1"/>
  <c r="V185" i="1"/>
  <c r="W185" i="1"/>
  <c r="X185" i="1"/>
  <c r="Y185" i="1"/>
  <c r="Z185" i="1"/>
  <c r="AA185" i="1"/>
  <c r="AB185" i="1"/>
  <c r="AC185" i="1"/>
  <c r="AD185" i="1"/>
  <c r="AE185" i="1"/>
  <c r="AF185" i="1"/>
  <c r="AG185" i="1"/>
  <c r="AH185" i="1"/>
  <c r="AI185" i="1"/>
  <c r="AP185" i="1"/>
  <c r="AQ185" i="1"/>
  <c r="AR185" i="1"/>
  <c r="AS185" i="1"/>
  <c r="AU185" i="1"/>
  <c r="AV185" i="1"/>
  <c r="AX185" i="1"/>
  <c r="BK185" i="1"/>
  <c r="BL185" i="1"/>
  <c r="BM185" i="1"/>
  <c r="BP185" i="1"/>
  <c r="BR185" i="1"/>
  <c r="I186" i="1"/>
  <c r="J186" i="1"/>
  <c r="K186" i="1"/>
  <c r="L186" i="1"/>
  <c r="M186" i="1"/>
  <c r="N186" i="1"/>
  <c r="O186" i="1"/>
  <c r="P186" i="1"/>
  <c r="Q186" i="1"/>
  <c r="R186" i="1"/>
  <c r="S186" i="1"/>
  <c r="T186" i="1"/>
  <c r="U186" i="1"/>
  <c r="V186" i="1"/>
  <c r="W186" i="1"/>
  <c r="X186" i="1"/>
  <c r="Y186" i="1"/>
  <c r="Z186" i="1"/>
  <c r="AA186" i="1"/>
  <c r="AB186" i="1"/>
  <c r="AC186" i="1"/>
  <c r="AD186" i="1"/>
  <c r="AE186" i="1"/>
  <c r="AF186" i="1"/>
  <c r="AG186" i="1"/>
  <c r="AH186" i="1"/>
  <c r="AI186" i="1"/>
  <c r="AP186" i="1"/>
  <c r="AQ186" i="1"/>
  <c r="AR186" i="1"/>
  <c r="AS186" i="1"/>
  <c r="AU186" i="1"/>
  <c r="AV186" i="1"/>
  <c r="AX186" i="1"/>
  <c r="BK186" i="1"/>
  <c r="BL186" i="1"/>
  <c r="BM186" i="1"/>
  <c r="BP186" i="1"/>
  <c r="BR186" i="1"/>
  <c r="I156" i="1"/>
  <c r="J156" i="1"/>
  <c r="K156" i="1"/>
  <c r="L156" i="1"/>
  <c r="M156" i="1"/>
  <c r="N156" i="1"/>
  <c r="O156" i="1"/>
  <c r="P156" i="1"/>
  <c r="Q156" i="1"/>
  <c r="R156" i="1"/>
  <c r="S156" i="1"/>
  <c r="T156" i="1"/>
  <c r="U156" i="1"/>
  <c r="V156" i="1"/>
  <c r="W156" i="1"/>
  <c r="X156" i="1"/>
  <c r="Y156" i="1"/>
  <c r="Z156" i="1"/>
  <c r="AA156" i="1"/>
  <c r="AB156" i="1"/>
  <c r="AC156" i="1"/>
  <c r="AD156" i="1"/>
  <c r="AE156" i="1"/>
  <c r="AF156" i="1"/>
  <c r="AG156" i="1"/>
  <c r="AH156" i="1"/>
  <c r="AI156" i="1"/>
  <c r="AP156" i="1"/>
  <c r="AQ156" i="1"/>
  <c r="AR156" i="1"/>
  <c r="AS156" i="1"/>
  <c r="AU156" i="1"/>
  <c r="AV156" i="1"/>
  <c r="AX156" i="1"/>
  <c r="BK156" i="1"/>
  <c r="BL156" i="1"/>
  <c r="BM156" i="1"/>
  <c r="BP156" i="1"/>
  <c r="BR156" i="1"/>
  <c r="I157" i="1"/>
  <c r="J157" i="1"/>
  <c r="K157" i="1"/>
  <c r="L157" i="1"/>
  <c r="M157" i="1"/>
  <c r="N157" i="1"/>
  <c r="O157" i="1"/>
  <c r="P157" i="1"/>
  <c r="Q157" i="1"/>
  <c r="R157" i="1"/>
  <c r="S157" i="1"/>
  <c r="T157" i="1"/>
  <c r="U157" i="1"/>
  <c r="V157" i="1"/>
  <c r="W157" i="1"/>
  <c r="X157" i="1"/>
  <c r="Y157" i="1"/>
  <c r="Z157" i="1"/>
  <c r="AA157" i="1"/>
  <c r="AB157" i="1"/>
  <c r="AC157" i="1"/>
  <c r="AD157" i="1"/>
  <c r="AE157" i="1"/>
  <c r="AF157" i="1"/>
  <c r="AG157" i="1"/>
  <c r="AH157" i="1"/>
  <c r="AI157" i="1"/>
  <c r="AP157" i="1"/>
  <c r="AQ157" i="1"/>
  <c r="AR157" i="1"/>
  <c r="AS157" i="1"/>
  <c r="AU157" i="1"/>
  <c r="AV157" i="1"/>
  <c r="AX157" i="1"/>
  <c r="BK157" i="1"/>
  <c r="BL157" i="1"/>
  <c r="BM157" i="1"/>
  <c r="BP157" i="1"/>
  <c r="BR157" i="1"/>
  <c r="I158" i="1"/>
  <c r="J158" i="1"/>
  <c r="K158" i="1"/>
  <c r="L158" i="1"/>
  <c r="M158" i="1"/>
  <c r="N158" i="1"/>
  <c r="O158" i="1"/>
  <c r="P158" i="1"/>
  <c r="Q158" i="1"/>
  <c r="R158" i="1"/>
  <c r="S158" i="1"/>
  <c r="T158" i="1"/>
  <c r="U158" i="1"/>
  <c r="V158" i="1"/>
  <c r="W158" i="1"/>
  <c r="X158" i="1"/>
  <c r="Y158" i="1"/>
  <c r="Z158" i="1"/>
  <c r="AA158" i="1"/>
  <c r="AB158" i="1"/>
  <c r="AC158" i="1"/>
  <c r="AD158" i="1"/>
  <c r="AE158" i="1"/>
  <c r="AF158" i="1"/>
  <c r="AG158" i="1"/>
  <c r="AH158" i="1"/>
  <c r="AI158" i="1"/>
  <c r="AP158" i="1"/>
  <c r="AQ158" i="1"/>
  <c r="AR158" i="1"/>
  <c r="AS158" i="1"/>
  <c r="AU158" i="1"/>
  <c r="AV158" i="1"/>
  <c r="AX158" i="1"/>
  <c r="BK158" i="1"/>
  <c r="BL158" i="1"/>
  <c r="BM158" i="1"/>
  <c r="BP158" i="1"/>
  <c r="BR158" i="1"/>
  <c r="I149" i="1"/>
  <c r="J149" i="1"/>
  <c r="K149" i="1"/>
  <c r="L149" i="1"/>
  <c r="M149" i="1"/>
  <c r="N149" i="1"/>
  <c r="O149" i="1"/>
  <c r="P149" i="1"/>
  <c r="Q149" i="1"/>
  <c r="R149" i="1"/>
  <c r="S149" i="1"/>
  <c r="T149" i="1"/>
  <c r="U149" i="1"/>
  <c r="V149" i="1"/>
  <c r="W149" i="1"/>
  <c r="X149" i="1"/>
  <c r="Y149" i="1"/>
  <c r="Z149" i="1"/>
  <c r="AA149" i="1"/>
  <c r="AB149" i="1"/>
  <c r="AC149" i="1"/>
  <c r="AD149" i="1"/>
  <c r="AE149" i="1"/>
  <c r="AF149" i="1"/>
  <c r="AG149" i="1"/>
  <c r="AH149" i="1"/>
  <c r="AI149" i="1"/>
  <c r="AP149" i="1"/>
  <c r="AQ149" i="1"/>
  <c r="AR149" i="1"/>
  <c r="AS149" i="1"/>
  <c r="AU149" i="1"/>
  <c r="AV149" i="1"/>
  <c r="AX149" i="1"/>
  <c r="BK149" i="1"/>
  <c r="BL149" i="1"/>
  <c r="BM149" i="1"/>
  <c r="BP149" i="1"/>
  <c r="BR149" i="1"/>
  <c r="I150" i="1"/>
  <c r="J150" i="1"/>
  <c r="K150" i="1"/>
  <c r="L150" i="1"/>
  <c r="M150" i="1"/>
  <c r="N150" i="1"/>
  <c r="O150" i="1"/>
  <c r="P150" i="1"/>
  <c r="Q150" i="1"/>
  <c r="R150" i="1"/>
  <c r="S150" i="1"/>
  <c r="T150" i="1"/>
  <c r="U150" i="1"/>
  <c r="V150" i="1"/>
  <c r="W150" i="1"/>
  <c r="X150" i="1"/>
  <c r="Y150" i="1"/>
  <c r="Z150" i="1"/>
  <c r="AA150" i="1"/>
  <c r="AB150" i="1"/>
  <c r="AC150" i="1"/>
  <c r="AD150" i="1"/>
  <c r="AE150" i="1"/>
  <c r="AF150" i="1"/>
  <c r="AG150" i="1"/>
  <c r="AH150" i="1"/>
  <c r="AI150" i="1"/>
  <c r="AP150" i="1"/>
  <c r="AQ150" i="1"/>
  <c r="AR150" i="1"/>
  <c r="AS150" i="1"/>
  <c r="AU150" i="1"/>
  <c r="AV150" i="1"/>
  <c r="AX150" i="1"/>
  <c r="BK150" i="1"/>
  <c r="BL150" i="1"/>
  <c r="BM150" i="1"/>
  <c r="BP150" i="1"/>
  <c r="BR150" i="1"/>
  <c r="I151" i="1"/>
  <c r="J151" i="1"/>
  <c r="K151" i="1"/>
  <c r="L151" i="1"/>
  <c r="M151" i="1"/>
  <c r="N151" i="1"/>
  <c r="O151" i="1"/>
  <c r="P151" i="1"/>
  <c r="Q151" i="1"/>
  <c r="R151" i="1"/>
  <c r="S151" i="1"/>
  <c r="T151" i="1"/>
  <c r="U151" i="1"/>
  <c r="V151" i="1"/>
  <c r="W151" i="1"/>
  <c r="X151" i="1"/>
  <c r="Y151" i="1"/>
  <c r="Z151" i="1"/>
  <c r="AA151" i="1"/>
  <c r="AB151" i="1"/>
  <c r="AC151" i="1"/>
  <c r="AD151" i="1"/>
  <c r="AE151" i="1"/>
  <c r="AF151" i="1"/>
  <c r="AG151" i="1"/>
  <c r="AH151" i="1"/>
  <c r="AI151" i="1"/>
  <c r="AP151" i="1"/>
  <c r="AQ151" i="1"/>
  <c r="AR151" i="1"/>
  <c r="AS151" i="1"/>
  <c r="AU151" i="1"/>
  <c r="AV151" i="1"/>
  <c r="AX151" i="1"/>
  <c r="BK151" i="1"/>
  <c r="BL151" i="1"/>
  <c r="BM151" i="1"/>
  <c r="BP151" i="1"/>
  <c r="BR151" i="1"/>
  <c r="I148" i="1"/>
  <c r="J148" i="1"/>
  <c r="K148" i="1"/>
  <c r="L148" i="1"/>
  <c r="M148" i="1"/>
  <c r="N148" i="1"/>
  <c r="O148" i="1"/>
  <c r="P148" i="1"/>
  <c r="Q148" i="1"/>
  <c r="R148" i="1"/>
  <c r="S148" i="1"/>
  <c r="T148" i="1"/>
  <c r="U148" i="1"/>
  <c r="V148" i="1"/>
  <c r="W148" i="1"/>
  <c r="X148" i="1"/>
  <c r="Y148" i="1"/>
  <c r="Z148" i="1"/>
  <c r="AA148" i="1"/>
  <c r="AB148" i="1"/>
  <c r="AC148" i="1"/>
  <c r="AD148" i="1"/>
  <c r="AE148" i="1"/>
  <c r="AF148" i="1"/>
  <c r="AG148" i="1"/>
  <c r="AH148" i="1"/>
  <c r="AI148" i="1"/>
  <c r="AP148" i="1"/>
  <c r="AQ148" i="1"/>
  <c r="AR148" i="1"/>
  <c r="AS148" i="1"/>
  <c r="AU148" i="1"/>
  <c r="AV148" i="1"/>
  <c r="AX148" i="1"/>
  <c r="BK148" i="1"/>
  <c r="BL148" i="1"/>
  <c r="BM148" i="1"/>
  <c r="BP148" i="1"/>
  <c r="BR148" i="1"/>
  <c r="I56" i="1"/>
  <c r="J56" i="1"/>
  <c r="K56" i="1"/>
  <c r="L56" i="1"/>
  <c r="M56" i="1"/>
  <c r="N56" i="1"/>
  <c r="O56" i="1"/>
  <c r="P56" i="1"/>
  <c r="Q56" i="1"/>
  <c r="R56" i="1"/>
  <c r="S56" i="1"/>
  <c r="T56" i="1"/>
  <c r="U56" i="1"/>
  <c r="V56" i="1"/>
  <c r="W56" i="1"/>
  <c r="X56" i="1"/>
  <c r="Y56" i="1"/>
  <c r="Z56" i="1"/>
  <c r="AA56" i="1"/>
  <c r="AB56" i="1"/>
  <c r="AC56" i="1"/>
  <c r="AD56" i="1"/>
  <c r="AE56" i="1"/>
  <c r="AF56" i="1"/>
  <c r="AG56" i="1"/>
  <c r="AH56" i="1"/>
  <c r="AI56" i="1"/>
  <c r="AP56" i="1"/>
  <c r="AQ56" i="1"/>
  <c r="AR56" i="1"/>
  <c r="AS56" i="1"/>
  <c r="AU56" i="1"/>
  <c r="AV56" i="1"/>
  <c r="AX56" i="1"/>
  <c r="BK56" i="1"/>
  <c r="BL56" i="1"/>
  <c r="BM56" i="1"/>
  <c r="BP56" i="1"/>
  <c r="BR56" i="1"/>
  <c r="I152" i="1"/>
  <c r="J152" i="1"/>
  <c r="K152" i="1"/>
  <c r="L152" i="1"/>
  <c r="M152" i="1"/>
  <c r="N152" i="1"/>
  <c r="O152" i="1"/>
  <c r="P152" i="1"/>
  <c r="Q152" i="1"/>
  <c r="R152" i="1"/>
  <c r="S152" i="1"/>
  <c r="T152" i="1"/>
  <c r="U152" i="1"/>
  <c r="V152" i="1"/>
  <c r="W152" i="1"/>
  <c r="X152" i="1"/>
  <c r="Y152" i="1"/>
  <c r="Z152" i="1"/>
  <c r="AA152" i="1"/>
  <c r="AB152" i="1"/>
  <c r="AC152" i="1"/>
  <c r="AD152" i="1"/>
  <c r="AE152" i="1"/>
  <c r="AF152" i="1"/>
  <c r="AG152" i="1"/>
  <c r="AH152" i="1"/>
  <c r="AI152" i="1"/>
  <c r="AP152" i="1"/>
  <c r="AQ152" i="1"/>
  <c r="AR152" i="1"/>
  <c r="AS152" i="1"/>
  <c r="AU152" i="1"/>
  <c r="AV152" i="1"/>
  <c r="AX152" i="1"/>
  <c r="BK152" i="1"/>
  <c r="BL152" i="1"/>
  <c r="BM152" i="1"/>
  <c r="BP152" i="1"/>
  <c r="BR152" i="1"/>
  <c r="I153" i="1"/>
  <c r="J153" i="1"/>
  <c r="K153" i="1"/>
  <c r="L153" i="1"/>
  <c r="M153" i="1"/>
  <c r="N153" i="1"/>
  <c r="O153" i="1"/>
  <c r="P153" i="1"/>
  <c r="Q153" i="1"/>
  <c r="R153" i="1"/>
  <c r="S153" i="1"/>
  <c r="T153" i="1"/>
  <c r="U153" i="1"/>
  <c r="V153" i="1"/>
  <c r="W153" i="1"/>
  <c r="X153" i="1"/>
  <c r="Y153" i="1"/>
  <c r="Z153" i="1"/>
  <c r="AA153" i="1"/>
  <c r="AB153" i="1"/>
  <c r="AC153" i="1"/>
  <c r="AD153" i="1"/>
  <c r="AE153" i="1"/>
  <c r="AF153" i="1"/>
  <c r="AG153" i="1"/>
  <c r="AH153" i="1"/>
  <c r="AI153" i="1"/>
  <c r="AP153" i="1"/>
  <c r="AQ153" i="1"/>
  <c r="AR153" i="1"/>
  <c r="AS153" i="1"/>
  <c r="AU153" i="1"/>
  <c r="AV153" i="1"/>
  <c r="AX153" i="1"/>
  <c r="BK153" i="1"/>
  <c r="BL153" i="1"/>
  <c r="BM153" i="1"/>
  <c r="BP153" i="1"/>
  <c r="BR153" i="1"/>
  <c r="I154" i="1"/>
  <c r="J154" i="1"/>
  <c r="K154" i="1"/>
  <c r="L154" i="1"/>
  <c r="M154" i="1"/>
  <c r="N154" i="1"/>
  <c r="O154" i="1"/>
  <c r="P154" i="1"/>
  <c r="Q154" i="1"/>
  <c r="R154" i="1"/>
  <c r="S154" i="1"/>
  <c r="T154" i="1"/>
  <c r="U154" i="1"/>
  <c r="V154" i="1"/>
  <c r="W154" i="1"/>
  <c r="X154" i="1"/>
  <c r="Y154" i="1"/>
  <c r="Z154" i="1"/>
  <c r="AA154" i="1"/>
  <c r="AB154" i="1"/>
  <c r="AC154" i="1"/>
  <c r="AD154" i="1"/>
  <c r="AE154" i="1"/>
  <c r="AF154" i="1"/>
  <c r="AG154" i="1"/>
  <c r="AH154" i="1"/>
  <c r="AI154" i="1"/>
  <c r="AP154" i="1"/>
  <c r="AQ154" i="1"/>
  <c r="AR154" i="1"/>
  <c r="AS154" i="1"/>
  <c r="AU154" i="1"/>
  <c r="AV154" i="1"/>
  <c r="AX154" i="1"/>
  <c r="BK154" i="1"/>
  <c r="BL154" i="1"/>
  <c r="BM154" i="1"/>
  <c r="BP154" i="1"/>
  <c r="BR154" i="1"/>
  <c r="I155" i="1"/>
  <c r="J155" i="1"/>
  <c r="K155" i="1"/>
  <c r="L155" i="1"/>
  <c r="M155" i="1"/>
  <c r="N155" i="1"/>
  <c r="O155" i="1"/>
  <c r="P155" i="1"/>
  <c r="Q155" i="1"/>
  <c r="R155" i="1"/>
  <c r="S155" i="1"/>
  <c r="T155" i="1"/>
  <c r="U155" i="1"/>
  <c r="V155" i="1"/>
  <c r="W155" i="1"/>
  <c r="X155" i="1"/>
  <c r="Y155" i="1"/>
  <c r="Z155" i="1"/>
  <c r="AA155" i="1"/>
  <c r="AB155" i="1"/>
  <c r="AC155" i="1"/>
  <c r="AD155" i="1"/>
  <c r="AE155" i="1"/>
  <c r="AF155" i="1"/>
  <c r="AG155" i="1"/>
  <c r="AH155" i="1"/>
  <c r="AI155" i="1"/>
  <c r="AP155" i="1"/>
  <c r="AQ155" i="1"/>
  <c r="AR155" i="1"/>
  <c r="AS155" i="1"/>
  <c r="AU155" i="1"/>
  <c r="AV155" i="1"/>
  <c r="AX155" i="1"/>
  <c r="BK155" i="1"/>
  <c r="BL155" i="1"/>
  <c r="BM155" i="1"/>
  <c r="BP155" i="1"/>
  <c r="BR155" i="1"/>
  <c r="I142" i="1"/>
  <c r="J142" i="1"/>
  <c r="K142" i="1"/>
  <c r="L142" i="1"/>
  <c r="M142" i="1"/>
  <c r="N142" i="1"/>
  <c r="O142" i="1"/>
  <c r="P142" i="1"/>
  <c r="Q142" i="1"/>
  <c r="R142" i="1"/>
  <c r="S142" i="1"/>
  <c r="T142" i="1"/>
  <c r="U142" i="1"/>
  <c r="V142" i="1"/>
  <c r="W142" i="1"/>
  <c r="X142" i="1"/>
  <c r="Y142" i="1"/>
  <c r="Z142" i="1"/>
  <c r="AA142" i="1"/>
  <c r="AB142" i="1"/>
  <c r="AC142" i="1"/>
  <c r="AD142" i="1"/>
  <c r="AE142" i="1"/>
  <c r="AF142" i="1"/>
  <c r="AG142" i="1"/>
  <c r="AH142" i="1"/>
  <c r="AI142" i="1"/>
  <c r="AP142" i="1"/>
  <c r="AQ142" i="1"/>
  <c r="AR142" i="1"/>
  <c r="AS142" i="1"/>
  <c r="AU142" i="1"/>
  <c r="AV142" i="1"/>
  <c r="AX142" i="1"/>
  <c r="BK142" i="1"/>
  <c r="BL142" i="1"/>
  <c r="BM142" i="1"/>
  <c r="BP142" i="1"/>
  <c r="BR142" i="1"/>
  <c r="I143" i="1"/>
  <c r="J143" i="1"/>
  <c r="K143" i="1"/>
  <c r="L143" i="1"/>
  <c r="M143" i="1"/>
  <c r="N143" i="1"/>
  <c r="O143" i="1"/>
  <c r="P143" i="1"/>
  <c r="Q143" i="1"/>
  <c r="R143" i="1"/>
  <c r="S143" i="1"/>
  <c r="T143" i="1"/>
  <c r="U143" i="1"/>
  <c r="V143" i="1"/>
  <c r="W143" i="1"/>
  <c r="X143" i="1"/>
  <c r="Y143" i="1"/>
  <c r="Z143" i="1"/>
  <c r="AA143" i="1"/>
  <c r="AB143" i="1"/>
  <c r="AC143" i="1"/>
  <c r="AD143" i="1"/>
  <c r="AE143" i="1"/>
  <c r="AF143" i="1"/>
  <c r="AG143" i="1"/>
  <c r="AH143" i="1"/>
  <c r="AI143" i="1"/>
  <c r="AP143" i="1"/>
  <c r="AQ143" i="1"/>
  <c r="AR143" i="1"/>
  <c r="AS143" i="1"/>
  <c r="AU143" i="1"/>
  <c r="AV143" i="1"/>
  <c r="AX143" i="1"/>
  <c r="BK143" i="1"/>
  <c r="BL143" i="1"/>
  <c r="BM143" i="1"/>
  <c r="BP143" i="1"/>
  <c r="BR143" i="1"/>
  <c r="I144" i="1"/>
  <c r="J144" i="1"/>
  <c r="K144" i="1"/>
  <c r="L144" i="1"/>
  <c r="M144" i="1"/>
  <c r="N144" i="1"/>
  <c r="O144" i="1"/>
  <c r="P144" i="1"/>
  <c r="Q144" i="1"/>
  <c r="R144" i="1"/>
  <c r="S144" i="1"/>
  <c r="T144" i="1"/>
  <c r="U144" i="1"/>
  <c r="V144" i="1"/>
  <c r="W144" i="1"/>
  <c r="X144" i="1"/>
  <c r="Y144" i="1"/>
  <c r="Z144" i="1"/>
  <c r="AA144" i="1"/>
  <c r="AB144" i="1"/>
  <c r="AC144" i="1"/>
  <c r="AD144" i="1"/>
  <c r="AE144" i="1"/>
  <c r="AF144" i="1"/>
  <c r="AG144" i="1"/>
  <c r="AH144" i="1"/>
  <c r="AI144" i="1"/>
  <c r="AP144" i="1"/>
  <c r="AQ144" i="1"/>
  <c r="AR144" i="1"/>
  <c r="AS144" i="1"/>
  <c r="AU144" i="1"/>
  <c r="AV144" i="1"/>
  <c r="AX144" i="1"/>
  <c r="BK144" i="1"/>
  <c r="BL144" i="1"/>
  <c r="BM144" i="1"/>
  <c r="BP144" i="1"/>
  <c r="BR144" i="1"/>
  <c r="I145" i="1"/>
  <c r="J145" i="1"/>
  <c r="K145" i="1"/>
  <c r="L145" i="1"/>
  <c r="M145" i="1"/>
  <c r="N145" i="1"/>
  <c r="O145" i="1"/>
  <c r="P145" i="1"/>
  <c r="Q145" i="1"/>
  <c r="R145" i="1"/>
  <c r="S145" i="1"/>
  <c r="T145" i="1"/>
  <c r="U145" i="1"/>
  <c r="V145" i="1"/>
  <c r="W145" i="1"/>
  <c r="X145" i="1"/>
  <c r="Y145" i="1"/>
  <c r="Z145" i="1"/>
  <c r="AA145" i="1"/>
  <c r="AB145" i="1"/>
  <c r="AC145" i="1"/>
  <c r="AD145" i="1"/>
  <c r="AE145" i="1"/>
  <c r="AF145" i="1"/>
  <c r="AG145" i="1"/>
  <c r="AH145" i="1"/>
  <c r="AI145" i="1"/>
  <c r="AP145" i="1"/>
  <c r="AQ145" i="1"/>
  <c r="AR145" i="1"/>
  <c r="AS145" i="1"/>
  <c r="AU145" i="1"/>
  <c r="AV145" i="1"/>
  <c r="AX145" i="1"/>
  <c r="BK145" i="1"/>
  <c r="BL145" i="1"/>
  <c r="BM145" i="1"/>
  <c r="BP145" i="1"/>
  <c r="BR145" i="1"/>
  <c r="I146" i="1"/>
  <c r="J146" i="1"/>
  <c r="K146" i="1"/>
  <c r="L146" i="1"/>
  <c r="M146" i="1"/>
  <c r="N146" i="1"/>
  <c r="O146" i="1"/>
  <c r="P146" i="1"/>
  <c r="Q146" i="1"/>
  <c r="R146" i="1"/>
  <c r="S146" i="1"/>
  <c r="T146" i="1"/>
  <c r="U146" i="1"/>
  <c r="V146" i="1"/>
  <c r="W146" i="1"/>
  <c r="X146" i="1"/>
  <c r="Y146" i="1"/>
  <c r="Z146" i="1"/>
  <c r="AA146" i="1"/>
  <c r="AB146" i="1"/>
  <c r="AC146" i="1"/>
  <c r="AD146" i="1"/>
  <c r="AE146" i="1"/>
  <c r="AF146" i="1"/>
  <c r="AG146" i="1"/>
  <c r="AH146" i="1"/>
  <c r="AI146" i="1"/>
  <c r="AP146" i="1"/>
  <c r="AQ146" i="1"/>
  <c r="AR146" i="1"/>
  <c r="AS146" i="1"/>
  <c r="AU146" i="1"/>
  <c r="AV146" i="1"/>
  <c r="AX146" i="1"/>
  <c r="BK146" i="1"/>
  <c r="BL146" i="1"/>
  <c r="BM146" i="1"/>
  <c r="BP146" i="1"/>
  <c r="BR146" i="1"/>
  <c r="I120" i="1"/>
  <c r="J120" i="1"/>
  <c r="K120" i="1"/>
  <c r="L120" i="1"/>
  <c r="M120" i="1"/>
  <c r="N120" i="1"/>
  <c r="O120" i="1"/>
  <c r="P120" i="1"/>
  <c r="Q120" i="1"/>
  <c r="R120" i="1"/>
  <c r="S120" i="1"/>
  <c r="T120" i="1"/>
  <c r="U120" i="1"/>
  <c r="V120" i="1"/>
  <c r="W120" i="1"/>
  <c r="X120" i="1"/>
  <c r="Y120" i="1"/>
  <c r="Z120" i="1"/>
  <c r="AA120" i="1"/>
  <c r="AB120" i="1"/>
  <c r="AC120" i="1"/>
  <c r="AD120" i="1"/>
  <c r="AE120" i="1"/>
  <c r="AF120" i="1"/>
  <c r="AG120" i="1"/>
  <c r="AH120" i="1"/>
  <c r="AI120" i="1"/>
  <c r="AP120" i="1"/>
  <c r="AQ120" i="1"/>
  <c r="AR120" i="1"/>
  <c r="AS120" i="1"/>
  <c r="AU120" i="1"/>
  <c r="AV120" i="1"/>
  <c r="AX120" i="1"/>
  <c r="BK120" i="1"/>
  <c r="BL120" i="1"/>
  <c r="BM120" i="1"/>
  <c r="BP120" i="1"/>
  <c r="BR120" i="1"/>
  <c r="I121" i="1"/>
  <c r="J121" i="1"/>
  <c r="K121" i="1"/>
  <c r="L121" i="1"/>
  <c r="M121" i="1"/>
  <c r="N121" i="1"/>
  <c r="O121" i="1"/>
  <c r="P121" i="1"/>
  <c r="Q121" i="1"/>
  <c r="R121" i="1"/>
  <c r="S121" i="1"/>
  <c r="T121" i="1"/>
  <c r="U121" i="1"/>
  <c r="V121" i="1"/>
  <c r="W121" i="1"/>
  <c r="X121" i="1"/>
  <c r="Y121" i="1"/>
  <c r="Z121" i="1"/>
  <c r="AA121" i="1"/>
  <c r="AB121" i="1"/>
  <c r="AC121" i="1"/>
  <c r="AD121" i="1"/>
  <c r="AE121" i="1"/>
  <c r="AF121" i="1"/>
  <c r="AG121" i="1"/>
  <c r="AH121" i="1"/>
  <c r="AI121" i="1"/>
  <c r="AP121" i="1"/>
  <c r="AQ121" i="1"/>
  <c r="AR121" i="1"/>
  <c r="AS121" i="1"/>
  <c r="AU121" i="1"/>
  <c r="AV121" i="1"/>
  <c r="AX121" i="1"/>
  <c r="BK121" i="1"/>
  <c r="BL121" i="1"/>
  <c r="BM121" i="1"/>
  <c r="BP121" i="1"/>
  <c r="BR121" i="1"/>
  <c r="I122" i="1"/>
  <c r="J122" i="1"/>
  <c r="K122" i="1"/>
  <c r="L122" i="1"/>
  <c r="M122" i="1"/>
  <c r="N122" i="1"/>
  <c r="O122" i="1"/>
  <c r="P122" i="1"/>
  <c r="Q122" i="1"/>
  <c r="R122" i="1"/>
  <c r="S122" i="1"/>
  <c r="T122" i="1"/>
  <c r="U122" i="1"/>
  <c r="V122" i="1"/>
  <c r="W122" i="1"/>
  <c r="X122" i="1"/>
  <c r="Y122" i="1"/>
  <c r="Z122" i="1"/>
  <c r="AA122" i="1"/>
  <c r="AB122" i="1"/>
  <c r="AC122" i="1"/>
  <c r="AD122" i="1"/>
  <c r="AE122" i="1"/>
  <c r="AF122" i="1"/>
  <c r="AG122" i="1"/>
  <c r="AH122" i="1"/>
  <c r="AI122" i="1"/>
  <c r="AP122" i="1"/>
  <c r="AQ122" i="1"/>
  <c r="AR122" i="1"/>
  <c r="AS122" i="1"/>
  <c r="AU122" i="1"/>
  <c r="AV122" i="1"/>
  <c r="AX122" i="1"/>
  <c r="BK122" i="1"/>
  <c r="BL122" i="1"/>
  <c r="BM122" i="1"/>
  <c r="BP122" i="1"/>
  <c r="BR122" i="1"/>
  <c r="I123" i="1"/>
  <c r="J123" i="1"/>
  <c r="K123" i="1"/>
  <c r="L123" i="1"/>
  <c r="M123" i="1"/>
  <c r="N123" i="1"/>
  <c r="O123" i="1"/>
  <c r="P123" i="1"/>
  <c r="Q123" i="1"/>
  <c r="R123" i="1"/>
  <c r="S123" i="1"/>
  <c r="T123" i="1"/>
  <c r="U123" i="1"/>
  <c r="V123" i="1"/>
  <c r="W123" i="1"/>
  <c r="X123" i="1"/>
  <c r="Y123" i="1"/>
  <c r="Z123" i="1"/>
  <c r="AA123" i="1"/>
  <c r="AB123" i="1"/>
  <c r="AC123" i="1"/>
  <c r="AD123" i="1"/>
  <c r="AE123" i="1"/>
  <c r="AF123" i="1"/>
  <c r="AG123" i="1"/>
  <c r="AH123" i="1"/>
  <c r="AI123" i="1"/>
  <c r="AP123" i="1"/>
  <c r="AQ123" i="1"/>
  <c r="AR123" i="1"/>
  <c r="AS123" i="1"/>
  <c r="AU123" i="1"/>
  <c r="AV123" i="1"/>
  <c r="AX123" i="1"/>
  <c r="BK123" i="1"/>
  <c r="BL123" i="1"/>
  <c r="BM123" i="1"/>
  <c r="BP123" i="1"/>
  <c r="BR123" i="1"/>
  <c r="I124" i="1"/>
  <c r="J124" i="1"/>
  <c r="K124" i="1"/>
  <c r="L124" i="1"/>
  <c r="M124" i="1"/>
  <c r="N124" i="1"/>
  <c r="O124" i="1"/>
  <c r="P124" i="1"/>
  <c r="Q124" i="1"/>
  <c r="R124" i="1"/>
  <c r="S124" i="1"/>
  <c r="T124" i="1"/>
  <c r="U124" i="1"/>
  <c r="V124" i="1"/>
  <c r="W124" i="1"/>
  <c r="X124" i="1"/>
  <c r="Y124" i="1"/>
  <c r="Z124" i="1"/>
  <c r="AA124" i="1"/>
  <c r="AB124" i="1"/>
  <c r="AC124" i="1"/>
  <c r="AD124" i="1"/>
  <c r="AE124" i="1"/>
  <c r="AF124" i="1"/>
  <c r="AG124" i="1"/>
  <c r="AH124" i="1"/>
  <c r="AI124" i="1"/>
  <c r="AP124" i="1"/>
  <c r="AQ124" i="1"/>
  <c r="AR124" i="1"/>
  <c r="AS124" i="1"/>
  <c r="AU124" i="1"/>
  <c r="AV124" i="1"/>
  <c r="AX124" i="1"/>
  <c r="BK124" i="1"/>
  <c r="BL124" i="1"/>
  <c r="BM124" i="1"/>
  <c r="BP124" i="1"/>
  <c r="BR124" i="1"/>
  <c r="I125" i="1"/>
  <c r="J125" i="1"/>
  <c r="K125" i="1"/>
  <c r="L125" i="1"/>
  <c r="M125" i="1"/>
  <c r="N125" i="1"/>
  <c r="O125" i="1"/>
  <c r="P125" i="1"/>
  <c r="Q125" i="1"/>
  <c r="R125" i="1"/>
  <c r="S125" i="1"/>
  <c r="T125" i="1"/>
  <c r="U125" i="1"/>
  <c r="V125" i="1"/>
  <c r="W125" i="1"/>
  <c r="X125" i="1"/>
  <c r="Y125" i="1"/>
  <c r="Z125" i="1"/>
  <c r="AA125" i="1"/>
  <c r="AB125" i="1"/>
  <c r="AC125" i="1"/>
  <c r="AD125" i="1"/>
  <c r="AE125" i="1"/>
  <c r="AF125" i="1"/>
  <c r="AG125" i="1"/>
  <c r="AH125" i="1"/>
  <c r="AI125" i="1"/>
  <c r="AP125" i="1"/>
  <c r="AQ125" i="1"/>
  <c r="AR125" i="1"/>
  <c r="AS125" i="1"/>
  <c r="AU125" i="1"/>
  <c r="AV125" i="1"/>
  <c r="AX125" i="1"/>
  <c r="BK125" i="1"/>
  <c r="BL125" i="1"/>
  <c r="BM125" i="1"/>
  <c r="BP125" i="1"/>
  <c r="BR125" i="1"/>
  <c r="I126" i="1"/>
  <c r="J126" i="1"/>
  <c r="K126" i="1"/>
  <c r="L126" i="1"/>
  <c r="M126" i="1"/>
  <c r="N126" i="1"/>
  <c r="O126" i="1"/>
  <c r="P126" i="1"/>
  <c r="Q126" i="1"/>
  <c r="R126" i="1"/>
  <c r="S126" i="1"/>
  <c r="T126" i="1"/>
  <c r="U126" i="1"/>
  <c r="V126" i="1"/>
  <c r="W126" i="1"/>
  <c r="X126" i="1"/>
  <c r="Y126" i="1"/>
  <c r="Z126" i="1"/>
  <c r="AA126" i="1"/>
  <c r="AB126" i="1"/>
  <c r="AC126" i="1"/>
  <c r="AD126" i="1"/>
  <c r="AE126" i="1"/>
  <c r="AF126" i="1"/>
  <c r="AG126" i="1"/>
  <c r="AH126" i="1"/>
  <c r="AI126" i="1"/>
  <c r="AP126" i="1"/>
  <c r="AQ126" i="1"/>
  <c r="AR126" i="1"/>
  <c r="AS126" i="1"/>
  <c r="AU126" i="1"/>
  <c r="AV126" i="1"/>
  <c r="AX126" i="1"/>
  <c r="BK126" i="1"/>
  <c r="BL126" i="1"/>
  <c r="BM126" i="1"/>
  <c r="BP126" i="1"/>
  <c r="BR126" i="1"/>
  <c r="I127" i="1"/>
  <c r="J127" i="1"/>
  <c r="K127" i="1"/>
  <c r="L127" i="1"/>
  <c r="M127" i="1"/>
  <c r="N127" i="1"/>
  <c r="O127" i="1"/>
  <c r="P127" i="1"/>
  <c r="Q127" i="1"/>
  <c r="R127" i="1"/>
  <c r="S127" i="1"/>
  <c r="T127" i="1"/>
  <c r="U127" i="1"/>
  <c r="V127" i="1"/>
  <c r="W127" i="1"/>
  <c r="X127" i="1"/>
  <c r="Y127" i="1"/>
  <c r="Z127" i="1"/>
  <c r="AA127" i="1"/>
  <c r="AB127" i="1"/>
  <c r="AC127" i="1"/>
  <c r="AD127" i="1"/>
  <c r="AE127" i="1"/>
  <c r="AF127" i="1"/>
  <c r="AG127" i="1"/>
  <c r="AH127" i="1"/>
  <c r="AI127" i="1"/>
  <c r="AP127" i="1"/>
  <c r="AQ127" i="1"/>
  <c r="AR127" i="1"/>
  <c r="AS127" i="1"/>
  <c r="AU127" i="1"/>
  <c r="AV127" i="1"/>
  <c r="AX127" i="1"/>
  <c r="BK127" i="1"/>
  <c r="BL127" i="1"/>
  <c r="BM127" i="1"/>
  <c r="BP127" i="1"/>
  <c r="BR127" i="1"/>
  <c r="I128" i="1"/>
  <c r="J128" i="1"/>
  <c r="K128" i="1"/>
  <c r="L128" i="1"/>
  <c r="M128" i="1"/>
  <c r="N128" i="1"/>
  <c r="O128" i="1"/>
  <c r="P128" i="1"/>
  <c r="Q128" i="1"/>
  <c r="R128" i="1"/>
  <c r="S128" i="1"/>
  <c r="T128" i="1"/>
  <c r="U128" i="1"/>
  <c r="V128" i="1"/>
  <c r="W128" i="1"/>
  <c r="X128" i="1"/>
  <c r="Y128" i="1"/>
  <c r="Z128" i="1"/>
  <c r="AA128" i="1"/>
  <c r="AB128" i="1"/>
  <c r="AC128" i="1"/>
  <c r="AD128" i="1"/>
  <c r="AE128" i="1"/>
  <c r="AF128" i="1"/>
  <c r="AG128" i="1"/>
  <c r="AH128" i="1"/>
  <c r="AI128" i="1"/>
  <c r="AP128" i="1"/>
  <c r="AQ128" i="1"/>
  <c r="AR128" i="1"/>
  <c r="AS128" i="1"/>
  <c r="AU128" i="1"/>
  <c r="AV128" i="1"/>
  <c r="AX128" i="1"/>
  <c r="BK128" i="1"/>
  <c r="BL128" i="1"/>
  <c r="BM128" i="1"/>
  <c r="BP128" i="1"/>
  <c r="BR128" i="1"/>
  <c r="I129" i="1"/>
  <c r="J129" i="1"/>
  <c r="K129" i="1"/>
  <c r="L129" i="1"/>
  <c r="M129" i="1"/>
  <c r="N129" i="1"/>
  <c r="O129" i="1"/>
  <c r="P129" i="1"/>
  <c r="Q129" i="1"/>
  <c r="R129" i="1"/>
  <c r="S129" i="1"/>
  <c r="T129" i="1"/>
  <c r="U129" i="1"/>
  <c r="V129" i="1"/>
  <c r="W129" i="1"/>
  <c r="X129" i="1"/>
  <c r="Y129" i="1"/>
  <c r="Z129" i="1"/>
  <c r="AA129" i="1"/>
  <c r="AB129" i="1"/>
  <c r="AC129" i="1"/>
  <c r="AD129" i="1"/>
  <c r="AE129" i="1"/>
  <c r="AF129" i="1"/>
  <c r="AG129" i="1"/>
  <c r="AH129" i="1"/>
  <c r="AI129" i="1"/>
  <c r="AP129" i="1"/>
  <c r="AQ129" i="1"/>
  <c r="AR129" i="1"/>
  <c r="AS129" i="1"/>
  <c r="AU129" i="1"/>
  <c r="AV129" i="1"/>
  <c r="AX129" i="1"/>
  <c r="BK129" i="1"/>
  <c r="BL129" i="1"/>
  <c r="BM129" i="1"/>
  <c r="BP129" i="1"/>
  <c r="BR129" i="1"/>
  <c r="I130" i="1"/>
  <c r="J130" i="1"/>
  <c r="K130" i="1"/>
  <c r="L130" i="1"/>
  <c r="M130" i="1"/>
  <c r="N130" i="1"/>
  <c r="O130" i="1"/>
  <c r="P130" i="1"/>
  <c r="Q130" i="1"/>
  <c r="R130" i="1"/>
  <c r="S130" i="1"/>
  <c r="T130" i="1"/>
  <c r="U130" i="1"/>
  <c r="V130" i="1"/>
  <c r="W130" i="1"/>
  <c r="X130" i="1"/>
  <c r="Y130" i="1"/>
  <c r="Z130" i="1"/>
  <c r="AA130" i="1"/>
  <c r="AB130" i="1"/>
  <c r="AC130" i="1"/>
  <c r="AD130" i="1"/>
  <c r="AE130" i="1"/>
  <c r="AF130" i="1"/>
  <c r="AG130" i="1"/>
  <c r="AH130" i="1"/>
  <c r="AI130" i="1"/>
  <c r="AP130" i="1"/>
  <c r="AQ130" i="1"/>
  <c r="AR130" i="1"/>
  <c r="AS130" i="1"/>
  <c r="AU130" i="1"/>
  <c r="AV130" i="1"/>
  <c r="AX130" i="1"/>
  <c r="BK130" i="1"/>
  <c r="BL130" i="1"/>
  <c r="BM130" i="1"/>
  <c r="BP130" i="1"/>
  <c r="BR130" i="1"/>
  <c r="I131" i="1"/>
  <c r="J131" i="1"/>
  <c r="K131" i="1"/>
  <c r="L131" i="1"/>
  <c r="M131" i="1"/>
  <c r="N131" i="1"/>
  <c r="O131" i="1"/>
  <c r="P131" i="1"/>
  <c r="Q131" i="1"/>
  <c r="R131" i="1"/>
  <c r="S131" i="1"/>
  <c r="T131" i="1"/>
  <c r="U131" i="1"/>
  <c r="V131" i="1"/>
  <c r="W131" i="1"/>
  <c r="X131" i="1"/>
  <c r="Y131" i="1"/>
  <c r="Z131" i="1"/>
  <c r="AA131" i="1"/>
  <c r="AB131" i="1"/>
  <c r="AC131" i="1"/>
  <c r="AD131" i="1"/>
  <c r="AE131" i="1"/>
  <c r="AF131" i="1"/>
  <c r="AG131" i="1"/>
  <c r="AH131" i="1"/>
  <c r="AI131" i="1"/>
  <c r="AP131" i="1"/>
  <c r="AQ131" i="1"/>
  <c r="AR131" i="1"/>
  <c r="AS131" i="1"/>
  <c r="AU131" i="1"/>
  <c r="AV131" i="1"/>
  <c r="AX131" i="1"/>
  <c r="BK131" i="1"/>
  <c r="BL131" i="1"/>
  <c r="BM131" i="1"/>
  <c r="BP131" i="1"/>
  <c r="BR131" i="1"/>
  <c r="I132" i="1"/>
  <c r="J132" i="1"/>
  <c r="K132" i="1"/>
  <c r="L132" i="1"/>
  <c r="M132" i="1"/>
  <c r="N132" i="1"/>
  <c r="O132" i="1"/>
  <c r="P132" i="1"/>
  <c r="Q132" i="1"/>
  <c r="R132" i="1"/>
  <c r="S132" i="1"/>
  <c r="T132" i="1"/>
  <c r="U132" i="1"/>
  <c r="V132" i="1"/>
  <c r="W132" i="1"/>
  <c r="X132" i="1"/>
  <c r="Y132" i="1"/>
  <c r="Z132" i="1"/>
  <c r="AA132" i="1"/>
  <c r="AB132" i="1"/>
  <c r="AC132" i="1"/>
  <c r="AD132" i="1"/>
  <c r="AE132" i="1"/>
  <c r="AF132" i="1"/>
  <c r="AG132" i="1"/>
  <c r="AH132" i="1"/>
  <c r="AI132" i="1"/>
  <c r="AP132" i="1"/>
  <c r="AQ132" i="1"/>
  <c r="AR132" i="1"/>
  <c r="AS132" i="1"/>
  <c r="AU132" i="1"/>
  <c r="AV132" i="1"/>
  <c r="AX132" i="1"/>
  <c r="BK132" i="1"/>
  <c r="BL132" i="1"/>
  <c r="BM132" i="1"/>
  <c r="BP132" i="1"/>
  <c r="BR132" i="1"/>
  <c r="I133" i="1"/>
  <c r="J133" i="1"/>
  <c r="K133" i="1"/>
  <c r="L133" i="1"/>
  <c r="M133" i="1"/>
  <c r="N133" i="1"/>
  <c r="O133" i="1"/>
  <c r="P133" i="1"/>
  <c r="Q133" i="1"/>
  <c r="R133" i="1"/>
  <c r="S133" i="1"/>
  <c r="T133" i="1"/>
  <c r="U133" i="1"/>
  <c r="V133" i="1"/>
  <c r="W133" i="1"/>
  <c r="X133" i="1"/>
  <c r="Y133" i="1"/>
  <c r="Z133" i="1"/>
  <c r="AA133" i="1"/>
  <c r="AB133" i="1"/>
  <c r="AC133" i="1"/>
  <c r="AD133" i="1"/>
  <c r="AE133" i="1"/>
  <c r="AF133" i="1"/>
  <c r="AG133" i="1"/>
  <c r="AH133" i="1"/>
  <c r="AI133" i="1"/>
  <c r="AP133" i="1"/>
  <c r="AQ133" i="1"/>
  <c r="AR133" i="1"/>
  <c r="AS133" i="1"/>
  <c r="AU133" i="1"/>
  <c r="AV133" i="1"/>
  <c r="AX133" i="1"/>
  <c r="BK133" i="1"/>
  <c r="BL133" i="1"/>
  <c r="BM133" i="1"/>
  <c r="BP133" i="1"/>
  <c r="BR133" i="1"/>
  <c r="I134" i="1"/>
  <c r="J134" i="1"/>
  <c r="K134" i="1"/>
  <c r="L134" i="1"/>
  <c r="M134" i="1"/>
  <c r="N134" i="1"/>
  <c r="O134" i="1"/>
  <c r="P134" i="1"/>
  <c r="Q134" i="1"/>
  <c r="R134" i="1"/>
  <c r="S134" i="1"/>
  <c r="T134" i="1"/>
  <c r="U134" i="1"/>
  <c r="V134" i="1"/>
  <c r="W134" i="1"/>
  <c r="X134" i="1"/>
  <c r="Y134" i="1"/>
  <c r="Z134" i="1"/>
  <c r="AA134" i="1"/>
  <c r="AB134" i="1"/>
  <c r="AC134" i="1"/>
  <c r="AD134" i="1"/>
  <c r="AE134" i="1"/>
  <c r="AF134" i="1"/>
  <c r="AG134" i="1"/>
  <c r="AH134" i="1"/>
  <c r="AI134" i="1"/>
  <c r="AP134" i="1"/>
  <c r="AQ134" i="1"/>
  <c r="AR134" i="1"/>
  <c r="AS134" i="1"/>
  <c r="AU134" i="1"/>
  <c r="AV134" i="1"/>
  <c r="AX134" i="1"/>
  <c r="BK134" i="1"/>
  <c r="BL134" i="1"/>
  <c r="BM134" i="1"/>
  <c r="BP134" i="1"/>
  <c r="BR134" i="1"/>
  <c r="I135" i="1"/>
  <c r="J135" i="1"/>
  <c r="K135" i="1"/>
  <c r="L135" i="1"/>
  <c r="M135" i="1"/>
  <c r="N135" i="1"/>
  <c r="O135" i="1"/>
  <c r="P135" i="1"/>
  <c r="Q135" i="1"/>
  <c r="R135" i="1"/>
  <c r="S135" i="1"/>
  <c r="T135" i="1"/>
  <c r="U135" i="1"/>
  <c r="V135" i="1"/>
  <c r="W135" i="1"/>
  <c r="X135" i="1"/>
  <c r="Y135" i="1"/>
  <c r="Z135" i="1"/>
  <c r="AA135" i="1"/>
  <c r="AB135" i="1"/>
  <c r="AC135" i="1"/>
  <c r="AD135" i="1"/>
  <c r="AE135" i="1"/>
  <c r="AF135" i="1"/>
  <c r="AG135" i="1"/>
  <c r="AH135" i="1"/>
  <c r="AI135" i="1"/>
  <c r="AP135" i="1"/>
  <c r="AQ135" i="1"/>
  <c r="AR135" i="1"/>
  <c r="AS135" i="1"/>
  <c r="AU135" i="1"/>
  <c r="AV135" i="1"/>
  <c r="AX135" i="1"/>
  <c r="BK135" i="1"/>
  <c r="BL135" i="1"/>
  <c r="BM135" i="1"/>
  <c r="BP135" i="1"/>
  <c r="BR135" i="1"/>
  <c r="I136" i="1"/>
  <c r="J136" i="1"/>
  <c r="K136" i="1"/>
  <c r="L136" i="1"/>
  <c r="M136" i="1"/>
  <c r="N136" i="1"/>
  <c r="O136" i="1"/>
  <c r="P136" i="1"/>
  <c r="Q136" i="1"/>
  <c r="R136" i="1"/>
  <c r="S136" i="1"/>
  <c r="T136" i="1"/>
  <c r="U136" i="1"/>
  <c r="V136" i="1"/>
  <c r="W136" i="1"/>
  <c r="X136" i="1"/>
  <c r="Y136" i="1"/>
  <c r="Z136" i="1"/>
  <c r="AA136" i="1"/>
  <c r="AB136" i="1"/>
  <c r="AC136" i="1"/>
  <c r="AD136" i="1"/>
  <c r="AE136" i="1"/>
  <c r="AF136" i="1"/>
  <c r="AG136" i="1"/>
  <c r="AH136" i="1"/>
  <c r="AI136" i="1"/>
  <c r="AP136" i="1"/>
  <c r="AQ136" i="1"/>
  <c r="AR136" i="1"/>
  <c r="AS136" i="1"/>
  <c r="AU136" i="1"/>
  <c r="AV136" i="1"/>
  <c r="AX136" i="1"/>
  <c r="BK136" i="1"/>
  <c r="BL136" i="1"/>
  <c r="BM136" i="1"/>
  <c r="BP136" i="1"/>
  <c r="BR136" i="1"/>
  <c r="I137" i="1"/>
  <c r="J137" i="1"/>
  <c r="K137" i="1"/>
  <c r="L137" i="1"/>
  <c r="M137" i="1"/>
  <c r="N137" i="1"/>
  <c r="O137" i="1"/>
  <c r="P137" i="1"/>
  <c r="Q137" i="1"/>
  <c r="R137" i="1"/>
  <c r="S137" i="1"/>
  <c r="T137" i="1"/>
  <c r="U137" i="1"/>
  <c r="V137" i="1"/>
  <c r="W137" i="1"/>
  <c r="X137" i="1"/>
  <c r="Y137" i="1"/>
  <c r="Z137" i="1"/>
  <c r="AA137" i="1"/>
  <c r="AB137" i="1"/>
  <c r="AC137" i="1"/>
  <c r="AD137" i="1"/>
  <c r="AE137" i="1"/>
  <c r="AF137" i="1"/>
  <c r="AG137" i="1"/>
  <c r="AH137" i="1"/>
  <c r="AI137" i="1"/>
  <c r="AP137" i="1"/>
  <c r="AQ137" i="1"/>
  <c r="AR137" i="1"/>
  <c r="AS137" i="1"/>
  <c r="AU137" i="1"/>
  <c r="AV137" i="1"/>
  <c r="AX137" i="1"/>
  <c r="BK137" i="1"/>
  <c r="BL137" i="1"/>
  <c r="BM137" i="1"/>
  <c r="BP137" i="1"/>
  <c r="BR137" i="1"/>
  <c r="I138" i="1"/>
  <c r="J138" i="1"/>
  <c r="K138" i="1"/>
  <c r="L138" i="1"/>
  <c r="M138" i="1"/>
  <c r="N138" i="1"/>
  <c r="O138" i="1"/>
  <c r="P138" i="1"/>
  <c r="Q138" i="1"/>
  <c r="R138" i="1"/>
  <c r="S138" i="1"/>
  <c r="T138" i="1"/>
  <c r="U138" i="1"/>
  <c r="V138" i="1"/>
  <c r="W138" i="1"/>
  <c r="X138" i="1"/>
  <c r="Y138" i="1"/>
  <c r="Z138" i="1"/>
  <c r="AA138" i="1"/>
  <c r="AB138" i="1"/>
  <c r="AC138" i="1"/>
  <c r="AD138" i="1"/>
  <c r="AE138" i="1"/>
  <c r="AF138" i="1"/>
  <c r="AG138" i="1"/>
  <c r="AH138" i="1"/>
  <c r="AI138" i="1"/>
  <c r="AP138" i="1"/>
  <c r="AQ138" i="1"/>
  <c r="AR138" i="1"/>
  <c r="AS138" i="1"/>
  <c r="AU138" i="1"/>
  <c r="AV138" i="1"/>
  <c r="AX138" i="1"/>
  <c r="BK138" i="1"/>
  <c r="BL138" i="1"/>
  <c r="BM138" i="1"/>
  <c r="BP138" i="1"/>
  <c r="BR138" i="1"/>
  <c r="I139" i="1"/>
  <c r="J139" i="1"/>
  <c r="K139" i="1"/>
  <c r="L139" i="1"/>
  <c r="M139" i="1"/>
  <c r="N139" i="1"/>
  <c r="O139" i="1"/>
  <c r="P139" i="1"/>
  <c r="Q139" i="1"/>
  <c r="R139" i="1"/>
  <c r="S139" i="1"/>
  <c r="T139" i="1"/>
  <c r="U139" i="1"/>
  <c r="V139" i="1"/>
  <c r="W139" i="1"/>
  <c r="X139" i="1"/>
  <c r="Y139" i="1"/>
  <c r="Z139" i="1"/>
  <c r="AA139" i="1"/>
  <c r="AB139" i="1"/>
  <c r="AC139" i="1"/>
  <c r="AD139" i="1"/>
  <c r="AE139" i="1"/>
  <c r="AF139" i="1"/>
  <c r="AG139" i="1"/>
  <c r="AH139" i="1"/>
  <c r="AI139" i="1"/>
  <c r="AP139" i="1"/>
  <c r="AQ139" i="1"/>
  <c r="AR139" i="1"/>
  <c r="AS139" i="1"/>
  <c r="AU139" i="1"/>
  <c r="AV139" i="1"/>
  <c r="AX139" i="1"/>
  <c r="BK139" i="1"/>
  <c r="BL139" i="1"/>
  <c r="BM139" i="1"/>
  <c r="BP139" i="1"/>
  <c r="BR139" i="1"/>
  <c r="I140" i="1"/>
  <c r="J140" i="1"/>
  <c r="K140" i="1"/>
  <c r="L140" i="1"/>
  <c r="M140" i="1"/>
  <c r="N140" i="1"/>
  <c r="O140" i="1"/>
  <c r="P140" i="1"/>
  <c r="Q140" i="1"/>
  <c r="R140" i="1"/>
  <c r="S140" i="1"/>
  <c r="T140" i="1"/>
  <c r="U140" i="1"/>
  <c r="V140" i="1"/>
  <c r="W140" i="1"/>
  <c r="X140" i="1"/>
  <c r="Y140" i="1"/>
  <c r="Z140" i="1"/>
  <c r="AA140" i="1"/>
  <c r="AB140" i="1"/>
  <c r="AC140" i="1"/>
  <c r="AD140" i="1"/>
  <c r="AE140" i="1"/>
  <c r="AF140" i="1"/>
  <c r="AG140" i="1"/>
  <c r="AH140" i="1"/>
  <c r="AI140" i="1"/>
  <c r="AP140" i="1"/>
  <c r="AQ140" i="1"/>
  <c r="AR140" i="1"/>
  <c r="AS140" i="1"/>
  <c r="AU140" i="1"/>
  <c r="AV140" i="1"/>
  <c r="AX140" i="1"/>
  <c r="BK140" i="1"/>
  <c r="BL140" i="1"/>
  <c r="BM140" i="1"/>
  <c r="BP140" i="1"/>
  <c r="BR140" i="1"/>
  <c r="I141" i="1"/>
  <c r="J141" i="1"/>
  <c r="K141" i="1"/>
  <c r="L141" i="1"/>
  <c r="M141" i="1"/>
  <c r="N141" i="1"/>
  <c r="O141" i="1"/>
  <c r="P141" i="1"/>
  <c r="Q141" i="1"/>
  <c r="R141" i="1"/>
  <c r="S141" i="1"/>
  <c r="T141" i="1"/>
  <c r="U141" i="1"/>
  <c r="V141" i="1"/>
  <c r="W141" i="1"/>
  <c r="X141" i="1"/>
  <c r="Y141" i="1"/>
  <c r="Z141" i="1"/>
  <c r="AA141" i="1"/>
  <c r="AB141" i="1"/>
  <c r="AC141" i="1"/>
  <c r="AD141" i="1"/>
  <c r="AE141" i="1"/>
  <c r="AF141" i="1"/>
  <c r="AG141" i="1"/>
  <c r="AH141" i="1"/>
  <c r="AI141" i="1"/>
  <c r="AP141" i="1"/>
  <c r="AQ141" i="1"/>
  <c r="AR141" i="1"/>
  <c r="AS141" i="1"/>
  <c r="AU141" i="1"/>
  <c r="AV141" i="1"/>
  <c r="AX141" i="1"/>
  <c r="BK141" i="1"/>
  <c r="BL141" i="1"/>
  <c r="BM141" i="1"/>
  <c r="BP141" i="1"/>
  <c r="BR141" i="1"/>
  <c r="I112" i="1"/>
  <c r="J112" i="1"/>
  <c r="K112" i="1"/>
  <c r="L112" i="1"/>
  <c r="M112" i="1"/>
  <c r="N112" i="1"/>
  <c r="O112" i="1"/>
  <c r="P112" i="1"/>
  <c r="Q112" i="1"/>
  <c r="R112" i="1"/>
  <c r="S112" i="1"/>
  <c r="T112" i="1"/>
  <c r="U112" i="1"/>
  <c r="V112" i="1"/>
  <c r="W112" i="1"/>
  <c r="X112" i="1"/>
  <c r="Y112" i="1"/>
  <c r="Z112" i="1"/>
  <c r="AA112" i="1"/>
  <c r="AB112" i="1"/>
  <c r="AC112" i="1"/>
  <c r="AD112" i="1"/>
  <c r="AE112" i="1"/>
  <c r="AF112" i="1"/>
  <c r="AG112" i="1"/>
  <c r="AH112" i="1"/>
  <c r="AI112" i="1"/>
  <c r="AP112" i="1"/>
  <c r="AQ112" i="1"/>
  <c r="AR112" i="1"/>
  <c r="AS112" i="1"/>
  <c r="AU112" i="1"/>
  <c r="AV112" i="1"/>
  <c r="AX112" i="1"/>
  <c r="BK112" i="1"/>
  <c r="BL112" i="1"/>
  <c r="BM112" i="1"/>
  <c r="BP112" i="1"/>
  <c r="BR112" i="1"/>
  <c r="I113" i="1"/>
  <c r="J113" i="1"/>
  <c r="K113" i="1"/>
  <c r="L113" i="1"/>
  <c r="M113" i="1"/>
  <c r="N113" i="1"/>
  <c r="O113" i="1"/>
  <c r="P113" i="1"/>
  <c r="Q113" i="1"/>
  <c r="R113" i="1"/>
  <c r="S113" i="1"/>
  <c r="T113" i="1"/>
  <c r="U113" i="1"/>
  <c r="V113" i="1"/>
  <c r="W113" i="1"/>
  <c r="X113" i="1"/>
  <c r="Y113" i="1"/>
  <c r="Z113" i="1"/>
  <c r="AA113" i="1"/>
  <c r="AB113" i="1"/>
  <c r="AC113" i="1"/>
  <c r="AD113" i="1"/>
  <c r="AE113" i="1"/>
  <c r="AF113" i="1"/>
  <c r="AG113" i="1"/>
  <c r="AH113" i="1"/>
  <c r="AI113" i="1"/>
  <c r="AP113" i="1"/>
  <c r="AQ113" i="1"/>
  <c r="AR113" i="1"/>
  <c r="AS113" i="1"/>
  <c r="AU113" i="1"/>
  <c r="AV113" i="1"/>
  <c r="AX113" i="1"/>
  <c r="BK113" i="1"/>
  <c r="BL113" i="1"/>
  <c r="BM113" i="1"/>
  <c r="BP113" i="1"/>
  <c r="BR113" i="1"/>
  <c r="I114" i="1"/>
  <c r="J114" i="1"/>
  <c r="K114" i="1"/>
  <c r="L114" i="1"/>
  <c r="M114" i="1"/>
  <c r="N114" i="1"/>
  <c r="O114" i="1"/>
  <c r="P114" i="1"/>
  <c r="Q114" i="1"/>
  <c r="R114" i="1"/>
  <c r="S114" i="1"/>
  <c r="T114" i="1"/>
  <c r="U114" i="1"/>
  <c r="V114" i="1"/>
  <c r="W114" i="1"/>
  <c r="X114" i="1"/>
  <c r="Y114" i="1"/>
  <c r="Z114" i="1"/>
  <c r="AA114" i="1"/>
  <c r="AB114" i="1"/>
  <c r="AC114" i="1"/>
  <c r="AD114" i="1"/>
  <c r="AE114" i="1"/>
  <c r="AF114" i="1"/>
  <c r="AG114" i="1"/>
  <c r="AH114" i="1"/>
  <c r="AI114" i="1"/>
  <c r="AP114" i="1"/>
  <c r="AQ114" i="1"/>
  <c r="AR114" i="1"/>
  <c r="AS114" i="1"/>
  <c r="AU114" i="1"/>
  <c r="AV114" i="1"/>
  <c r="AX114" i="1"/>
  <c r="BK114" i="1"/>
  <c r="BL114" i="1"/>
  <c r="BM114" i="1"/>
  <c r="BP114" i="1"/>
  <c r="BR114" i="1"/>
  <c r="I115" i="1"/>
  <c r="J115" i="1"/>
  <c r="K115" i="1"/>
  <c r="L115" i="1"/>
  <c r="M115" i="1"/>
  <c r="N115" i="1"/>
  <c r="O115" i="1"/>
  <c r="P115" i="1"/>
  <c r="Q115" i="1"/>
  <c r="R115" i="1"/>
  <c r="S115" i="1"/>
  <c r="T115" i="1"/>
  <c r="U115" i="1"/>
  <c r="V115" i="1"/>
  <c r="W115" i="1"/>
  <c r="X115" i="1"/>
  <c r="Y115" i="1"/>
  <c r="Z115" i="1"/>
  <c r="AA115" i="1"/>
  <c r="AB115" i="1"/>
  <c r="AC115" i="1"/>
  <c r="AD115" i="1"/>
  <c r="AE115" i="1"/>
  <c r="AF115" i="1"/>
  <c r="AG115" i="1"/>
  <c r="AH115" i="1"/>
  <c r="AI115" i="1"/>
  <c r="AP115" i="1"/>
  <c r="AQ115" i="1"/>
  <c r="AR115" i="1"/>
  <c r="AS115" i="1"/>
  <c r="AU115" i="1"/>
  <c r="AV115" i="1"/>
  <c r="AX115" i="1"/>
  <c r="BK115" i="1"/>
  <c r="BL115" i="1"/>
  <c r="BM115" i="1"/>
  <c r="BP115" i="1"/>
  <c r="BR115" i="1"/>
  <c r="I116" i="1"/>
  <c r="J116" i="1"/>
  <c r="K116" i="1"/>
  <c r="L116" i="1"/>
  <c r="M116" i="1"/>
  <c r="N116" i="1"/>
  <c r="O116" i="1"/>
  <c r="P116" i="1"/>
  <c r="Q116" i="1"/>
  <c r="R116" i="1"/>
  <c r="S116" i="1"/>
  <c r="T116" i="1"/>
  <c r="U116" i="1"/>
  <c r="V116" i="1"/>
  <c r="W116" i="1"/>
  <c r="X116" i="1"/>
  <c r="Y116" i="1"/>
  <c r="Z116" i="1"/>
  <c r="AA116" i="1"/>
  <c r="AB116" i="1"/>
  <c r="AC116" i="1"/>
  <c r="AD116" i="1"/>
  <c r="AE116" i="1"/>
  <c r="AF116" i="1"/>
  <c r="AG116" i="1"/>
  <c r="AH116" i="1"/>
  <c r="AI116" i="1"/>
  <c r="AP116" i="1"/>
  <c r="AQ116" i="1"/>
  <c r="AR116" i="1"/>
  <c r="AS116" i="1"/>
  <c r="AU116" i="1"/>
  <c r="AV116" i="1"/>
  <c r="AX116" i="1"/>
  <c r="BK116" i="1"/>
  <c r="BL116" i="1"/>
  <c r="BM116" i="1"/>
  <c r="BP116" i="1"/>
  <c r="BR116" i="1"/>
  <c r="I117" i="1"/>
  <c r="J117" i="1"/>
  <c r="K117" i="1"/>
  <c r="L117" i="1"/>
  <c r="M117" i="1"/>
  <c r="N117" i="1"/>
  <c r="O117" i="1"/>
  <c r="P117" i="1"/>
  <c r="Q117" i="1"/>
  <c r="R117" i="1"/>
  <c r="S117" i="1"/>
  <c r="T117" i="1"/>
  <c r="U117" i="1"/>
  <c r="V117" i="1"/>
  <c r="W117" i="1"/>
  <c r="X117" i="1"/>
  <c r="Y117" i="1"/>
  <c r="Z117" i="1"/>
  <c r="AA117" i="1"/>
  <c r="AB117" i="1"/>
  <c r="AC117" i="1"/>
  <c r="AD117" i="1"/>
  <c r="AE117" i="1"/>
  <c r="AF117" i="1"/>
  <c r="AG117" i="1"/>
  <c r="AH117" i="1"/>
  <c r="AI117" i="1"/>
  <c r="AP117" i="1"/>
  <c r="AQ117" i="1"/>
  <c r="AR117" i="1"/>
  <c r="AS117" i="1"/>
  <c r="AU117" i="1"/>
  <c r="AV117" i="1"/>
  <c r="AX117" i="1"/>
  <c r="BK117" i="1"/>
  <c r="BL117" i="1"/>
  <c r="BM117" i="1"/>
  <c r="BP117" i="1"/>
  <c r="BR117" i="1"/>
  <c r="I118" i="1"/>
  <c r="J118" i="1"/>
  <c r="K118" i="1"/>
  <c r="L118" i="1"/>
  <c r="M118" i="1"/>
  <c r="N118" i="1"/>
  <c r="O118" i="1"/>
  <c r="P118" i="1"/>
  <c r="Q118" i="1"/>
  <c r="R118" i="1"/>
  <c r="S118" i="1"/>
  <c r="T118" i="1"/>
  <c r="U118" i="1"/>
  <c r="V118" i="1"/>
  <c r="W118" i="1"/>
  <c r="X118" i="1"/>
  <c r="Y118" i="1"/>
  <c r="Z118" i="1"/>
  <c r="AA118" i="1"/>
  <c r="AB118" i="1"/>
  <c r="AC118" i="1"/>
  <c r="AD118" i="1"/>
  <c r="AE118" i="1"/>
  <c r="AF118" i="1"/>
  <c r="AG118" i="1"/>
  <c r="AH118" i="1"/>
  <c r="AI118" i="1"/>
  <c r="AP118" i="1"/>
  <c r="AQ118" i="1"/>
  <c r="AR118" i="1"/>
  <c r="AS118" i="1"/>
  <c r="AU118" i="1"/>
  <c r="AV118" i="1"/>
  <c r="AX118" i="1"/>
  <c r="BK118" i="1"/>
  <c r="BL118" i="1"/>
  <c r="BM118" i="1"/>
  <c r="BP118" i="1"/>
  <c r="BR118" i="1"/>
  <c r="I119" i="1"/>
  <c r="J119" i="1"/>
  <c r="K119" i="1"/>
  <c r="L119" i="1"/>
  <c r="M119" i="1"/>
  <c r="N119" i="1"/>
  <c r="O119" i="1"/>
  <c r="P119" i="1"/>
  <c r="Q119" i="1"/>
  <c r="R119" i="1"/>
  <c r="S119" i="1"/>
  <c r="T119" i="1"/>
  <c r="U119" i="1"/>
  <c r="V119" i="1"/>
  <c r="W119" i="1"/>
  <c r="X119" i="1"/>
  <c r="Y119" i="1"/>
  <c r="Z119" i="1"/>
  <c r="AA119" i="1"/>
  <c r="AB119" i="1"/>
  <c r="AC119" i="1"/>
  <c r="AD119" i="1"/>
  <c r="AE119" i="1"/>
  <c r="AF119" i="1"/>
  <c r="AG119" i="1"/>
  <c r="AH119" i="1"/>
  <c r="AI119" i="1"/>
  <c r="AP119" i="1"/>
  <c r="AQ119" i="1"/>
  <c r="AR119" i="1"/>
  <c r="AS119" i="1"/>
  <c r="AU119" i="1"/>
  <c r="AV119" i="1"/>
  <c r="AX119" i="1"/>
  <c r="BK119" i="1"/>
  <c r="BL119" i="1"/>
  <c r="BM119" i="1"/>
  <c r="BP119" i="1"/>
  <c r="BR119" i="1"/>
  <c r="I110" i="1"/>
  <c r="J110" i="1"/>
  <c r="K110" i="1"/>
  <c r="L110" i="1"/>
  <c r="M110" i="1"/>
  <c r="N110" i="1"/>
  <c r="O110" i="1"/>
  <c r="P110" i="1"/>
  <c r="Q110" i="1"/>
  <c r="R110" i="1"/>
  <c r="S110" i="1"/>
  <c r="T110" i="1"/>
  <c r="U110" i="1"/>
  <c r="V110" i="1"/>
  <c r="W110" i="1"/>
  <c r="X110" i="1"/>
  <c r="Y110" i="1"/>
  <c r="Z110" i="1"/>
  <c r="AA110" i="1"/>
  <c r="AB110" i="1"/>
  <c r="AC110" i="1"/>
  <c r="AD110" i="1"/>
  <c r="AE110" i="1"/>
  <c r="AF110" i="1"/>
  <c r="AG110" i="1"/>
  <c r="AH110" i="1"/>
  <c r="AI110" i="1"/>
  <c r="AP110" i="1"/>
  <c r="AQ110" i="1"/>
  <c r="AR110" i="1"/>
  <c r="AS110" i="1"/>
  <c r="AU110" i="1"/>
  <c r="AV110" i="1"/>
  <c r="AX110" i="1"/>
  <c r="BK110" i="1"/>
  <c r="BL110" i="1"/>
  <c r="BM110" i="1"/>
  <c r="BP110" i="1"/>
  <c r="BR110" i="1"/>
  <c r="I111" i="1"/>
  <c r="J111" i="1"/>
  <c r="K111" i="1"/>
  <c r="L111" i="1"/>
  <c r="M111" i="1"/>
  <c r="N111" i="1"/>
  <c r="O111" i="1"/>
  <c r="P111" i="1"/>
  <c r="Q111" i="1"/>
  <c r="R111" i="1"/>
  <c r="S111" i="1"/>
  <c r="T111" i="1"/>
  <c r="U111" i="1"/>
  <c r="V111" i="1"/>
  <c r="W111" i="1"/>
  <c r="X111" i="1"/>
  <c r="Y111" i="1"/>
  <c r="Z111" i="1"/>
  <c r="AA111" i="1"/>
  <c r="AB111" i="1"/>
  <c r="AC111" i="1"/>
  <c r="AD111" i="1"/>
  <c r="AE111" i="1"/>
  <c r="AF111" i="1"/>
  <c r="AG111" i="1"/>
  <c r="AH111" i="1"/>
  <c r="AI111" i="1"/>
  <c r="AP111" i="1"/>
  <c r="AQ111" i="1"/>
  <c r="AR111" i="1"/>
  <c r="AS111" i="1"/>
  <c r="AU111" i="1"/>
  <c r="AV111" i="1"/>
  <c r="AX111" i="1"/>
  <c r="BK111" i="1"/>
  <c r="BL111" i="1"/>
  <c r="BM111" i="1"/>
  <c r="BP111" i="1"/>
  <c r="BR111" i="1"/>
  <c r="I105" i="1"/>
  <c r="J105" i="1"/>
  <c r="K105" i="1"/>
  <c r="L105" i="1"/>
  <c r="M105" i="1"/>
  <c r="N105" i="1"/>
  <c r="O105" i="1"/>
  <c r="P105" i="1"/>
  <c r="Q105" i="1"/>
  <c r="R105" i="1"/>
  <c r="S105" i="1"/>
  <c r="T105" i="1"/>
  <c r="U105" i="1"/>
  <c r="V105" i="1"/>
  <c r="W105" i="1"/>
  <c r="X105" i="1"/>
  <c r="Y105" i="1"/>
  <c r="Z105" i="1"/>
  <c r="AA105" i="1"/>
  <c r="AB105" i="1"/>
  <c r="AC105" i="1"/>
  <c r="AD105" i="1"/>
  <c r="AE105" i="1"/>
  <c r="AF105" i="1"/>
  <c r="AG105" i="1"/>
  <c r="AH105" i="1"/>
  <c r="AI105" i="1"/>
  <c r="AP105" i="1"/>
  <c r="AQ105" i="1"/>
  <c r="AR105" i="1"/>
  <c r="AS105" i="1"/>
  <c r="AU105" i="1"/>
  <c r="AV105" i="1"/>
  <c r="AX105" i="1"/>
  <c r="BK105" i="1"/>
  <c r="BL105" i="1"/>
  <c r="BM105" i="1"/>
  <c r="BP105" i="1"/>
  <c r="BR105" i="1"/>
  <c r="I55" i="1"/>
  <c r="J55" i="1"/>
  <c r="K55" i="1"/>
  <c r="L55" i="1"/>
  <c r="M55" i="1"/>
  <c r="N55" i="1"/>
  <c r="O55" i="1"/>
  <c r="P55" i="1"/>
  <c r="Q55" i="1"/>
  <c r="R55" i="1"/>
  <c r="S55" i="1"/>
  <c r="T55" i="1"/>
  <c r="U55" i="1"/>
  <c r="V55" i="1"/>
  <c r="W55" i="1"/>
  <c r="X55" i="1"/>
  <c r="Y55" i="1"/>
  <c r="Z55" i="1"/>
  <c r="AA55" i="1"/>
  <c r="AB55" i="1"/>
  <c r="AC55" i="1"/>
  <c r="AD55" i="1"/>
  <c r="AE55" i="1"/>
  <c r="AF55" i="1"/>
  <c r="AG55" i="1"/>
  <c r="AH55" i="1"/>
  <c r="AI55" i="1"/>
  <c r="AP55" i="1"/>
  <c r="AQ55" i="1"/>
  <c r="AR55" i="1"/>
  <c r="AS55" i="1"/>
  <c r="AU55" i="1"/>
  <c r="AV55" i="1"/>
  <c r="AX55" i="1"/>
  <c r="BK55" i="1"/>
  <c r="BL55" i="1"/>
  <c r="BM55" i="1"/>
  <c r="BP55" i="1"/>
  <c r="BR55" i="1"/>
  <c r="I106" i="1"/>
  <c r="J106" i="1"/>
  <c r="K106" i="1"/>
  <c r="L106" i="1"/>
  <c r="M106" i="1"/>
  <c r="N106" i="1"/>
  <c r="O106" i="1"/>
  <c r="P106" i="1"/>
  <c r="Q106" i="1"/>
  <c r="R106" i="1"/>
  <c r="S106" i="1"/>
  <c r="T106" i="1"/>
  <c r="U106" i="1"/>
  <c r="V106" i="1"/>
  <c r="W106" i="1"/>
  <c r="X106" i="1"/>
  <c r="Y106" i="1"/>
  <c r="Z106" i="1"/>
  <c r="AA106" i="1"/>
  <c r="AB106" i="1"/>
  <c r="AC106" i="1"/>
  <c r="AD106" i="1"/>
  <c r="AE106" i="1"/>
  <c r="AF106" i="1"/>
  <c r="AG106" i="1"/>
  <c r="AH106" i="1"/>
  <c r="AI106" i="1"/>
  <c r="AP106" i="1"/>
  <c r="AQ106" i="1"/>
  <c r="AR106" i="1"/>
  <c r="AS106" i="1"/>
  <c r="AU106" i="1"/>
  <c r="AV106" i="1"/>
  <c r="AX106" i="1"/>
  <c r="BK106" i="1"/>
  <c r="BL106" i="1"/>
  <c r="BM106" i="1"/>
  <c r="BP106" i="1"/>
  <c r="BR106" i="1"/>
  <c r="I107" i="1"/>
  <c r="J107" i="1"/>
  <c r="K107" i="1"/>
  <c r="L107" i="1"/>
  <c r="M107" i="1"/>
  <c r="N107" i="1"/>
  <c r="O107" i="1"/>
  <c r="P107" i="1"/>
  <c r="Q107" i="1"/>
  <c r="R107" i="1"/>
  <c r="S107" i="1"/>
  <c r="T107" i="1"/>
  <c r="U107" i="1"/>
  <c r="V107" i="1"/>
  <c r="W107" i="1"/>
  <c r="X107" i="1"/>
  <c r="Y107" i="1"/>
  <c r="Z107" i="1"/>
  <c r="AA107" i="1"/>
  <c r="AB107" i="1"/>
  <c r="AC107" i="1"/>
  <c r="AD107" i="1"/>
  <c r="AE107" i="1"/>
  <c r="AF107" i="1"/>
  <c r="AG107" i="1"/>
  <c r="AH107" i="1"/>
  <c r="AI107" i="1"/>
  <c r="AP107" i="1"/>
  <c r="AQ107" i="1"/>
  <c r="AR107" i="1"/>
  <c r="AS107" i="1"/>
  <c r="AU107" i="1"/>
  <c r="AV107" i="1"/>
  <c r="AX107" i="1"/>
  <c r="BK107" i="1"/>
  <c r="BL107" i="1"/>
  <c r="BM107" i="1"/>
  <c r="BP107" i="1"/>
  <c r="BR107" i="1"/>
  <c r="I108" i="1"/>
  <c r="J108" i="1"/>
  <c r="K108" i="1"/>
  <c r="L108" i="1"/>
  <c r="M108" i="1"/>
  <c r="N108" i="1"/>
  <c r="O108" i="1"/>
  <c r="P108" i="1"/>
  <c r="Q108" i="1"/>
  <c r="R108" i="1"/>
  <c r="S108" i="1"/>
  <c r="T108" i="1"/>
  <c r="U108" i="1"/>
  <c r="V108" i="1"/>
  <c r="W108" i="1"/>
  <c r="X108" i="1"/>
  <c r="Y108" i="1"/>
  <c r="Z108" i="1"/>
  <c r="AA108" i="1"/>
  <c r="AB108" i="1"/>
  <c r="AC108" i="1"/>
  <c r="AD108" i="1"/>
  <c r="AE108" i="1"/>
  <c r="AF108" i="1"/>
  <c r="AG108" i="1"/>
  <c r="AH108" i="1"/>
  <c r="AI108" i="1"/>
  <c r="AP108" i="1"/>
  <c r="AQ108" i="1"/>
  <c r="AR108" i="1"/>
  <c r="AS108" i="1"/>
  <c r="AU108" i="1"/>
  <c r="AV108" i="1"/>
  <c r="AX108" i="1"/>
  <c r="BK108" i="1"/>
  <c r="BL108" i="1"/>
  <c r="BM108" i="1"/>
  <c r="BP108" i="1"/>
  <c r="BR108" i="1"/>
  <c r="I103" i="1"/>
  <c r="J103" i="1"/>
  <c r="K103" i="1"/>
  <c r="L103" i="1"/>
  <c r="M103" i="1"/>
  <c r="N103" i="1"/>
  <c r="O103" i="1"/>
  <c r="P103" i="1"/>
  <c r="Q103" i="1"/>
  <c r="R103" i="1"/>
  <c r="S103" i="1"/>
  <c r="T103" i="1"/>
  <c r="U103" i="1"/>
  <c r="V103" i="1"/>
  <c r="W103" i="1"/>
  <c r="X103" i="1"/>
  <c r="Y103" i="1"/>
  <c r="Z103" i="1"/>
  <c r="AA103" i="1"/>
  <c r="AB103" i="1"/>
  <c r="AC103" i="1"/>
  <c r="AD103" i="1"/>
  <c r="AE103" i="1"/>
  <c r="AF103" i="1"/>
  <c r="AG103" i="1"/>
  <c r="AH103" i="1"/>
  <c r="AI103" i="1"/>
  <c r="AP103" i="1"/>
  <c r="AQ103" i="1"/>
  <c r="AR103" i="1"/>
  <c r="AS103" i="1"/>
  <c r="AU103" i="1"/>
  <c r="AV103" i="1"/>
  <c r="BK103" i="1"/>
  <c r="BL103" i="1"/>
  <c r="BM103" i="1"/>
  <c r="BP103" i="1"/>
  <c r="BR103" i="1"/>
  <c r="I104" i="1"/>
  <c r="J104" i="1"/>
  <c r="K104" i="1"/>
  <c r="L104" i="1"/>
  <c r="M104" i="1"/>
  <c r="N104" i="1"/>
  <c r="O104" i="1"/>
  <c r="P104" i="1"/>
  <c r="Q104" i="1"/>
  <c r="R104" i="1"/>
  <c r="S104" i="1"/>
  <c r="T104" i="1"/>
  <c r="U104" i="1"/>
  <c r="V104" i="1"/>
  <c r="W104" i="1"/>
  <c r="X104" i="1"/>
  <c r="Y104" i="1"/>
  <c r="Z104" i="1"/>
  <c r="AA104" i="1"/>
  <c r="AB104" i="1"/>
  <c r="AC104" i="1"/>
  <c r="AD104" i="1"/>
  <c r="AE104" i="1"/>
  <c r="AF104" i="1"/>
  <c r="AG104" i="1"/>
  <c r="AH104" i="1"/>
  <c r="AI104" i="1"/>
  <c r="AP104" i="1"/>
  <c r="AQ104" i="1"/>
  <c r="AR104" i="1"/>
  <c r="AS104" i="1"/>
  <c r="AU104" i="1"/>
  <c r="AV104" i="1"/>
  <c r="AX104" i="1"/>
  <c r="BK104" i="1"/>
  <c r="BL104" i="1"/>
  <c r="BM104" i="1"/>
  <c r="BP104" i="1"/>
  <c r="BR104" i="1"/>
  <c r="I99" i="1"/>
  <c r="J99" i="1"/>
  <c r="K99" i="1"/>
  <c r="L99" i="1"/>
  <c r="M99" i="1"/>
  <c r="N99" i="1"/>
  <c r="O99" i="1"/>
  <c r="P99" i="1"/>
  <c r="Q99" i="1"/>
  <c r="R99" i="1"/>
  <c r="S99" i="1"/>
  <c r="T99" i="1"/>
  <c r="U99" i="1"/>
  <c r="V99" i="1"/>
  <c r="W99" i="1"/>
  <c r="X99" i="1"/>
  <c r="Y99" i="1"/>
  <c r="Z99" i="1"/>
  <c r="AA99" i="1"/>
  <c r="AB99" i="1"/>
  <c r="AC99" i="1"/>
  <c r="AD99" i="1"/>
  <c r="AE99" i="1"/>
  <c r="AF99" i="1"/>
  <c r="AG99" i="1"/>
  <c r="AH99" i="1"/>
  <c r="AI99" i="1"/>
  <c r="AP99" i="1"/>
  <c r="AQ99" i="1"/>
  <c r="AR99" i="1"/>
  <c r="AS99" i="1"/>
  <c r="AU99" i="1"/>
  <c r="AV99" i="1"/>
  <c r="AX99" i="1"/>
  <c r="BK99" i="1"/>
  <c r="BL99" i="1"/>
  <c r="BM99" i="1"/>
  <c r="BP99" i="1"/>
  <c r="BR99" i="1"/>
  <c r="I100" i="1"/>
  <c r="J100" i="1"/>
  <c r="K100" i="1"/>
  <c r="L100" i="1"/>
  <c r="M100" i="1"/>
  <c r="N100" i="1"/>
  <c r="O100" i="1"/>
  <c r="P100" i="1"/>
  <c r="Q100" i="1"/>
  <c r="R100" i="1"/>
  <c r="S100" i="1"/>
  <c r="T100" i="1"/>
  <c r="U100" i="1"/>
  <c r="V100" i="1"/>
  <c r="W100" i="1"/>
  <c r="X100" i="1"/>
  <c r="Y100" i="1"/>
  <c r="Z100" i="1"/>
  <c r="AA100" i="1"/>
  <c r="AB100" i="1"/>
  <c r="AC100" i="1"/>
  <c r="AD100" i="1"/>
  <c r="AE100" i="1"/>
  <c r="AF100" i="1"/>
  <c r="AG100" i="1"/>
  <c r="AH100" i="1"/>
  <c r="AI100" i="1"/>
  <c r="AP100" i="1"/>
  <c r="AQ100" i="1"/>
  <c r="AR100" i="1"/>
  <c r="AS100" i="1"/>
  <c r="AU100" i="1"/>
  <c r="AV100" i="1"/>
  <c r="AX100" i="1"/>
  <c r="BK100" i="1"/>
  <c r="BL100" i="1"/>
  <c r="BM100" i="1"/>
  <c r="BP100" i="1"/>
  <c r="BR100" i="1"/>
  <c r="I101" i="1"/>
  <c r="J101" i="1"/>
  <c r="K101" i="1"/>
  <c r="L101" i="1"/>
  <c r="M101" i="1"/>
  <c r="N101" i="1"/>
  <c r="O101" i="1"/>
  <c r="P101" i="1"/>
  <c r="Q101" i="1"/>
  <c r="R101" i="1"/>
  <c r="S101" i="1"/>
  <c r="T101" i="1"/>
  <c r="U101" i="1"/>
  <c r="V101" i="1"/>
  <c r="W101" i="1"/>
  <c r="X101" i="1"/>
  <c r="Y101" i="1"/>
  <c r="Z101" i="1"/>
  <c r="AA101" i="1"/>
  <c r="AB101" i="1"/>
  <c r="AC101" i="1"/>
  <c r="AD101" i="1"/>
  <c r="AE101" i="1"/>
  <c r="AF101" i="1"/>
  <c r="AG101" i="1"/>
  <c r="AH101" i="1"/>
  <c r="AI101" i="1"/>
  <c r="AP101" i="1"/>
  <c r="AQ101" i="1"/>
  <c r="AR101" i="1"/>
  <c r="AS101" i="1"/>
  <c r="AU101" i="1"/>
  <c r="AV101" i="1"/>
  <c r="AX101" i="1"/>
  <c r="BK101" i="1"/>
  <c r="BL101" i="1"/>
  <c r="BM101" i="1"/>
  <c r="BP101" i="1"/>
  <c r="BR101" i="1"/>
  <c r="I102" i="1"/>
  <c r="J102" i="1"/>
  <c r="K102" i="1"/>
  <c r="L102" i="1"/>
  <c r="M102" i="1"/>
  <c r="N102" i="1"/>
  <c r="O102" i="1"/>
  <c r="P102" i="1"/>
  <c r="Q102" i="1"/>
  <c r="R102" i="1"/>
  <c r="S102" i="1"/>
  <c r="T102" i="1"/>
  <c r="U102" i="1"/>
  <c r="V102" i="1"/>
  <c r="W102" i="1"/>
  <c r="X102" i="1"/>
  <c r="Y102" i="1"/>
  <c r="Z102" i="1"/>
  <c r="AA102" i="1"/>
  <c r="AB102" i="1"/>
  <c r="AC102" i="1"/>
  <c r="AD102" i="1"/>
  <c r="AE102" i="1"/>
  <c r="AF102" i="1"/>
  <c r="AG102" i="1"/>
  <c r="AH102" i="1"/>
  <c r="AI102" i="1"/>
  <c r="AP102" i="1"/>
  <c r="AQ102" i="1"/>
  <c r="AR102" i="1"/>
  <c r="AS102" i="1"/>
  <c r="AU102" i="1"/>
  <c r="AV102" i="1"/>
  <c r="AX102" i="1"/>
  <c r="BK102" i="1"/>
  <c r="BL102" i="1"/>
  <c r="BM102" i="1"/>
  <c r="BP102" i="1"/>
  <c r="BR102" i="1"/>
  <c r="I94" i="1"/>
  <c r="J94" i="1"/>
  <c r="K94" i="1"/>
  <c r="L94" i="1"/>
  <c r="M94" i="1"/>
  <c r="N94" i="1"/>
  <c r="O94" i="1"/>
  <c r="P94" i="1"/>
  <c r="Q94" i="1"/>
  <c r="R94" i="1"/>
  <c r="S94" i="1"/>
  <c r="T94" i="1"/>
  <c r="U94" i="1"/>
  <c r="V94" i="1"/>
  <c r="W94" i="1"/>
  <c r="X94" i="1"/>
  <c r="Y94" i="1"/>
  <c r="Z94" i="1"/>
  <c r="AA94" i="1"/>
  <c r="AB94" i="1"/>
  <c r="AC94" i="1"/>
  <c r="AD94" i="1"/>
  <c r="AE94" i="1"/>
  <c r="AF94" i="1"/>
  <c r="AG94" i="1"/>
  <c r="AH94" i="1"/>
  <c r="AI94" i="1"/>
  <c r="AP94" i="1"/>
  <c r="AQ94" i="1"/>
  <c r="AR94" i="1"/>
  <c r="AS94" i="1"/>
  <c r="AU94" i="1"/>
  <c r="AV94" i="1"/>
  <c r="AX94" i="1"/>
  <c r="BK94" i="1"/>
  <c r="BL94" i="1"/>
  <c r="BM94" i="1"/>
  <c r="BP94" i="1"/>
  <c r="BR94" i="1"/>
  <c r="I95" i="1"/>
  <c r="J95" i="1"/>
  <c r="K95" i="1"/>
  <c r="L95" i="1"/>
  <c r="M95" i="1"/>
  <c r="N95" i="1"/>
  <c r="O95" i="1"/>
  <c r="P95" i="1"/>
  <c r="Q95" i="1"/>
  <c r="R95" i="1"/>
  <c r="S95" i="1"/>
  <c r="T95" i="1"/>
  <c r="U95" i="1"/>
  <c r="V95" i="1"/>
  <c r="W95" i="1"/>
  <c r="X95" i="1"/>
  <c r="Y95" i="1"/>
  <c r="Z95" i="1"/>
  <c r="AA95" i="1"/>
  <c r="AB95" i="1"/>
  <c r="AC95" i="1"/>
  <c r="AD95" i="1"/>
  <c r="AE95" i="1"/>
  <c r="AF95" i="1"/>
  <c r="AG95" i="1"/>
  <c r="AH95" i="1"/>
  <c r="AI95" i="1"/>
  <c r="AP95" i="1"/>
  <c r="AQ95" i="1"/>
  <c r="AR95" i="1"/>
  <c r="AS95" i="1"/>
  <c r="AU95" i="1"/>
  <c r="AV95" i="1"/>
  <c r="AX95" i="1"/>
  <c r="BK95" i="1"/>
  <c r="BL95" i="1"/>
  <c r="BM95" i="1"/>
  <c r="BP95" i="1"/>
  <c r="BR95" i="1"/>
  <c r="I96" i="1"/>
  <c r="J96" i="1"/>
  <c r="K96" i="1"/>
  <c r="L96" i="1"/>
  <c r="M96" i="1"/>
  <c r="N96" i="1"/>
  <c r="O96" i="1"/>
  <c r="P96" i="1"/>
  <c r="Q96" i="1"/>
  <c r="R96" i="1"/>
  <c r="S96" i="1"/>
  <c r="T96" i="1"/>
  <c r="U96" i="1"/>
  <c r="V96" i="1"/>
  <c r="W96" i="1"/>
  <c r="X96" i="1"/>
  <c r="Y96" i="1"/>
  <c r="Z96" i="1"/>
  <c r="AA96" i="1"/>
  <c r="AB96" i="1"/>
  <c r="AC96" i="1"/>
  <c r="AD96" i="1"/>
  <c r="AE96" i="1"/>
  <c r="AF96" i="1"/>
  <c r="AG96" i="1"/>
  <c r="AH96" i="1"/>
  <c r="AI96" i="1"/>
  <c r="AP96" i="1"/>
  <c r="AQ96" i="1"/>
  <c r="AR96" i="1"/>
  <c r="AS96" i="1"/>
  <c r="AU96" i="1"/>
  <c r="AV96" i="1"/>
  <c r="AX96" i="1"/>
  <c r="BK96" i="1"/>
  <c r="BL96" i="1"/>
  <c r="BM96" i="1"/>
  <c r="BP96" i="1"/>
  <c r="BR96" i="1"/>
  <c r="I97" i="1"/>
  <c r="J97" i="1"/>
  <c r="K97" i="1"/>
  <c r="L97" i="1"/>
  <c r="M97" i="1"/>
  <c r="N97" i="1"/>
  <c r="O97" i="1"/>
  <c r="P97" i="1"/>
  <c r="Q97" i="1"/>
  <c r="R97" i="1"/>
  <c r="S97" i="1"/>
  <c r="T97" i="1"/>
  <c r="U97" i="1"/>
  <c r="V97" i="1"/>
  <c r="W97" i="1"/>
  <c r="X97" i="1"/>
  <c r="Y97" i="1"/>
  <c r="Z97" i="1"/>
  <c r="AA97" i="1"/>
  <c r="AB97" i="1"/>
  <c r="AC97" i="1"/>
  <c r="AD97" i="1"/>
  <c r="AE97" i="1"/>
  <c r="AF97" i="1"/>
  <c r="AG97" i="1"/>
  <c r="AH97" i="1"/>
  <c r="AI97" i="1"/>
  <c r="AP97" i="1"/>
  <c r="AQ97" i="1"/>
  <c r="AR97" i="1"/>
  <c r="AS97" i="1"/>
  <c r="AU97" i="1"/>
  <c r="AV97" i="1"/>
  <c r="AX97" i="1"/>
  <c r="BK97" i="1"/>
  <c r="BL97" i="1"/>
  <c r="BM97" i="1"/>
  <c r="BP97" i="1"/>
  <c r="BR97" i="1"/>
  <c r="I98" i="1"/>
  <c r="J98" i="1"/>
  <c r="K98" i="1"/>
  <c r="L98" i="1"/>
  <c r="M98" i="1"/>
  <c r="N98" i="1"/>
  <c r="O98" i="1"/>
  <c r="P98" i="1"/>
  <c r="Q98" i="1"/>
  <c r="R98" i="1"/>
  <c r="S98" i="1"/>
  <c r="T98" i="1"/>
  <c r="U98" i="1"/>
  <c r="V98" i="1"/>
  <c r="W98" i="1"/>
  <c r="X98" i="1"/>
  <c r="Y98" i="1"/>
  <c r="Z98" i="1"/>
  <c r="AA98" i="1"/>
  <c r="AB98" i="1"/>
  <c r="AC98" i="1"/>
  <c r="AD98" i="1"/>
  <c r="AE98" i="1"/>
  <c r="AF98" i="1"/>
  <c r="AG98" i="1"/>
  <c r="AH98" i="1"/>
  <c r="AI98" i="1"/>
  <c r="AP98" i="1"/>
  <c r="AQ98" i="1"/>
  <c r="AR98" i="1"/>
  <c r="AS98" i="1"/>
  <c r="AU98" i="1"/>
  <c r="AV98" i="1"/>
  <c r="AX98" i="1"/>
  <c r="BK98" i="1"/>
  <c r="BL98" i="1"/>
  <c r="BM98" i="1"/>
  <c r="BP98" i="1"/>
  <c r="BR98" i="1"/>
  <c r="I71" i="1"/>
  <c r="J71" i="1"/>
  <c r="K71" i="1"/>
  <c r="L71" i="1"/>
  <c r="M71" i="1"/>
  <c r="N71" i="1"/>
  <c r="O71" i="1"/>
  <c r="P71" i="1"/>
  <c r="Q71" i="1"/>
  <c r="R71" i="1"/>
  <c r="S71" i="1"/>
  <c r="T71" i="1"/>
  <c r="U71" i="1"/>
  <c r="V71" i="1"/>
  <c r="W71" i="1"/>
  <c r="X71" i="1"/>
  <c r="Y71" i="1"/>
  <c r="Z71" i="1"/>
  <c r="AA71" i="1"/>
  <c r="AB71" i="1"/>
  <c r="AC71" i="1"/>
  <c r="AD71" i="1"/>
  <c r="AE71" i="1"/>
  <c r="AF71" i="1"/>
  <c r="AG71" i="1"/>
  <c r="AH71" i="1"/>
  <c r="AI71" i="1"/>
  <c r="AP71" i="1"/>
  <c r="AQ71" i="1"/>
  <c r="AR71" i="1"/>
  <c r="AS71" i="1"/>
  <c r="AU71" i="1"/>
  <c r="AV71" i="1"/>
  <c r="AX71" i="1"/>
  <c r="BK71" i="1"/>
  <c r="BL71" i="1"/>
  <c r="BM71" i="1"/>
  <c r="BP71" i="1"/>
  <c r="BR71" i="1"/>
  <c r="I72" i="1"/>
  <c r="J72" i="1"/>
  <c r="K72" i="1"/>
  <c r="L72" i="1"/>
  <c r="M72" i="1"/>
  <c r="N72" i="1"/>
  <c r="O72" i="1"/>
  <c r="P72" i="1"/>
  <c r="Q72" i="1"/>
  <c r="R72" i="1"/>
  <c r="S72" i="1"/>
  <c r="T72" i="1"/>
  <c r="U72" i="1"/>
  <c r="V72" i="1"/>
  <c r="W72" i="1"/>
  <c r="X72" i="1"/>
  <c r="Y72" i="1"/>
  <c r="Z72" i="1"/>
  <c r="AA72" i="1"/>
  <c r="AB72" i="1"/>
  <c r="AC72" i="1"/>
  <c r="AD72" i="1"/>
  <c r="AE72" i="1"/>
  <c r="AF72" i="1"/>
  <c r="AG72" i="1"/>
  <c r="AH72" i="1"/>
  <c r="AI72" i="1"/>
  <c r="AP72" i="1"/>
  <c r="AQ72" i="1"/>
  <c r="AR72" i="1"/>
  <c r="AS72" i="1"/>
  <c r="AU72" i="1"/>
  <c r="AV72" i="1"/>
  <c r="AX72" i="1"/>
  <c r="BK72" i="1"/>
  <c r="BL72" i="1"/>
  <c r="BM72" i="1"/>
  <c r="BP72" i="1"/>
  <c r="BR72" i="1"/>
  <c r="I73" i="1"/>
  <c r="J73" i="1"/>
  <c r="K73" i="1"/>
  <c r="L73" i="1"/>
  <c r="M73" i="1"/>
  <c r="N73" i="1"/>
  <c r="O73" i="1"/>
  <c r="P73" i="1"/>
  <c r="Q73" i="1"/>
  <c r="R73" i="1"/>
  <c r="S73" i="1"/>
  <c r="T73" i="1"/>
  <c r="U73" i="1"/>
  <c r="V73" i="1"/>
  <c r="W73" i="1"/>
  <c r="X73" i="1"/>
  <c r="Y73" i="1"/>
  <c r="Z73" i="1"/>
  <c r="AA73" i="1"/>
  <c r="AB73" i="1"/>
  <c r="AC73" i="1"/>
  <c r="AD73" i="1"/>
  <c r="AE73" i="1"/>
  <c r="AF73" i="1"/>
  <c r="AG73" i="1"/>
  <c r="AH73" i="1"/>
  <c r="AI73" i="1"/>
  <c r="AP73" i="1"/>
  <c r="AQ73" i="1"/>
  <c r="AR73" i="1"/>
  <c r="AS73" i="1"/>
  <c r="AU73" i="1"/>
  <c r="AV73" i="1"/>
  <c r="AX73" i="1"/>
  <c r="BK73" i="1"/>
  <c r="BL73" i="1"/>
  <c r="BM73" i="1"/>
  <c r="BP73" i="1"/>
  <c r="BR73" i="1"/>
  <c r="I74" i="1"/>
  <c r="J74" i="1"/>
  <c r="K74" i="1"/>
  <c r="L74" i="1"/>
  <c r="M74" i="1"/>
  <c r="N74" i="1"/>
  <c r="O74" i="1"/>
  <c r="P74" i="1"/>
  <c r="Q74" i="1"/>
  <c r="R74" i="1"/>
  <c r="S74" i="1"/>
  <c r="T74" i="1"/>
  <c r="U74" i="1"/>
  <c r="V74" i="1"/>
  <c r="W74" i="1"/>
  <c r="X74" i="1"/>
  <c r="Y74" i="1"/>
  <c r="Z74" i="1"/>
  <c r="AA74" i="1"/>
  <c r="AB74" i="1"/>
  <c r="AC74" i="1"/>
  <c r="AD74" i="1"/>
  <c r="AE74" i="1"/>
  <c r="AF74" i="1"/>
  <c r="AG74" i="1"/>
  <c r="AH74" i="1"/>
  <c r="AI74" i="1"/>
  <c r="AP74" i="1"/>
  <c r="AQ74" i="1"/>
  <c r="AR74" i="1"/>
  <c r="AS74" i="1"/>
  <c r="AU74" i="1"/>
  <c r="AV74" i="1"/>
  <c r="AX74" i="1"/>
  <c r="BK74" i="1"/>
  <c r="BL74" i="1"/>
  <c r="BM74" i="1"/>
  <c r="BP74" i="1"/>
  <c r="BR74" i="1"/>
  <c r="I75" i="1"/>
  <c r="J75" i="1"/>
  <c r="K75" i="1"/>
  <c r="L75" i="1"/>
  <c r="M75" i="1"/>
  <c r="N75" i="1"/>
  <c r="O75" i="1"/>
  <c r="P75" i="1"/>
  <c r="Q75" i="1"/>
  <c r="R75" i="1"/>
  <c r="S75" i="1"/>
  <c r="T75" i="1"/>
  <c r="U75" i="1"/>
  <c r="V75" i="1"/>
  <c r="W75" i="1"/>
  <c r="X75" i="1"/>
  <c r="Y75" i="1"/>
  <c r="Z75" i="1"/>
  <c r="AA75" i="1"/>
  <c r="AB75" i="1"/>
  <c r="AC75" i="1"/>
  <c r="AD75" i="1"/>
  <c r="AE75" i="1"/>
  <c r="AF75" i="1"/>
  <c r="AG75" i="1"/>
  <c r="AH75" i="1"/>
  <c r="AI75" i="1"/>
  <c r="AP75" i="1"/>
  <c r="AQ75" i="1"/>
  <c r="AR75" i="1"/>
  <c r="AS75" i="1"/>
  <c r="AU75" i="1"/>
  <c r="AV75" i="1"/>
  <c r="AX75" i="1"/>
  <c r="BK75" i="1"/>
  <c r="BL75" i="1"/>
  <c r="BM75" i="1"/>
  <c r="BP75" i="1"/>
  <c r="BR75" i="1"/>
  <c r="I76" i="1"/>
  <c r="J76" i="1"/>
  <c r="K76" i="1"/>
  <c r="L76" i="1"/>
  <c r="M76" i="1"/>
  <c r="N76" i="1"/>
  <c r="O76" i="1"/>
  <c r="P76" i="1"/>
  <c r="Q76" i="1"/>
  <c r="R76" i="1"/>
  <c r="S76" i="1"/>
  <c r="T76" i="1"/>
  <c r="U76" i="1"/>
  <c r="V76" i="1"/>
  <c r="W76" i="1"/>
  <c r="X76" i="1"/>
  <c r="Y76" i="1"/>
  <c r="Z76" i="1"/>
  <c r="AA76" i="1"/>
  <c r="AB76" i="1"/>
  <c r="AC76" i="1"/>
  <c r="AD76" i="1"/>
  <c r="AE76" i="1"/>
  <c r="AF76" i="1"/>
  <c r="AG76" i="1"/>
  <c r="AH76" i="1"/>
  <c r="AI76" i="1"/>
  <c r="AP76" i="1"/>
  <c r="AQ76" i="1"/>
  <c r="AR76" i="1"/>
  <c r="AS76" i="1"/>
  <c r="AU76" i="1"/>
  <c r="AV76" i="1"/>
  <c r="AX76" i="1"/>
  <c r="BK76" i="1"/>
  <c r="BL76" i="1"/>
  <c r="BM76" i="1"/>
  <c r="BP76" i="1"/>
  <c r="BR76" i="1"/>
  <c r="I77" i="1"/>
  <c r="J77" i="1"/>
  <c r="K77" i="1"/>
  <c r="L77" i="1"/>
  <c r="M77" i="1"/>
  <c r="N77" i="1"/>
  <c r="O77" i="1"/>
  <c r="P77" i="1"/>
  <c r="Q77" i="1"/>
  <c r="R77" i="1"/>
  <c r="S77" i="1"/>
  <c r="T77" i="1"/>
  <c r="U77" i="1"/>
  <c r="V77" i="1"/>
  <c r="W77" i="1"/>
  <c r="X77" i="1"/>
  <c r="Y77" i="1"/>
  <c r="Z77" i="1"/>
  <c r="AA77" i="1"/>
  <c r="AB77" i="1"/>
  <c r="AC77" i="1"/>
  <c r="AD77" i="1"/>
  <c r="AE77" i="1"/>
  <c r="AF77" i="1"/>
  <c r="AG77" i="1"/>
  <c r="AH77" i="1"/>
  <c r="AI77" i="1"/>
  <c r="AP77" i="1"/>
  <c r="AQ77" i="1"/>
  <c r="AR77" i="1"/>
  <c r="AS77" i="1"/>
  <c r="AU77" i="1"/>
  <c r="AV77" i="1"/>
  <c r="AX77" i="1"/>
  <c r="BK77" i="1"/>
  <c r="BL77" i="1"/>
  <c r="BM77" i="1"/>
  <c r="BP77" i="1"/>
  <c r="BR77" i="1"/>
  <c r="I78" i="1"/>
  <c r="J78" i="1"/>
  <c r="K78" i="1"/>
  <c r="L78" i="1"/>
  <c r="M78" i="1"/>
  <c r="N78" i="1"/>
  <c r="O78" i="1"/>
  <c r="P78" i="1"/>
  <c r="Q78" i="1"/>
  <c r="R78" i="1"/>
  <c r="S78" i="1"/>
  <c r="T78" i="1"/>
  <c r="U78" i="1"/>
  <c r="V78" i="1"/>
  <c r="W78" i="1"/>
  <c r="X78" i="1"/>
  <c r="Y78" i="1"/>
  <c r="Z78" i="1"/>
  <c r="AA78" i="1"/>
  <c r="AB78" i="1"/>
  <c r="AC78" i="1"/>
  <c r="AD78" i="1"/>
  <c r="AE78" i="1"/>
  <c r="AF78" i="1"/>
  <c r="AG78" i="1"/>
  <c r="AH78" i="1"/>
  <c r="AI78" i="1"/>
  <c r="AP78" i="1"/>
  <c r="AQ78" i="1"/>
  <c r="AR78" i="1"/>
  <c r="AS78" i="1"/>
  <c r="AU78" i="1"/>
  <c r="AV78" i="1"/>
  <c r="AX78" i="1"/>
  <c r="BK78" i="1"/>
  <c r="BL78" i="1"/>
  <c r="BM78" i="1"/>
  <c r="BP78" i="1"/>
  <c r="BR78" i="1"/>
  <c r="I79" i="1"/>
  <c r="J79" i="1"/>
  <c r="K79" i="1"/>
  <c r="L79" i="1"/>
  <c r="M79" i="1"/>
  <c r="N79" i="1"/>
  <c r="O79" i="1"/>
  <c r="P79" i="1"/>
  <c r="Q79" i="1"/>
  <c r="R79" i="1"/>
  <c r="S79" i="1"/>
  <c r="T79" i="1"/>
  <c r="U79" i="1"/>
  <c r="V79" i="1"/>
  <c r="W79" i="1"/>
  <c r="X79" i="1"/>
  <c r="Y79" i="1"/>
  <c r="Z79" i="1"/>
  <c r="AA79" i="1"/>
  <c r="AB79" i="1"/>
  <c r="AC79" i="1"/>
  <c r="AD79" i="1"/>
  <c r="AE79" i="1"/>
  <c r="AF79" i="1"/>
  <c r="AG79" i="1"/>
  <c r="AH79" i="1"/>
  <c r="AI79" i="1"/>
  <c r="AP79" i="1"/>
  <c r="AQ79" i="1"/>
  <c r="AR79" i="1"/>
  <c r="AS79" i="1"/>
  <c r="AU79" i="1"/>
  <c r="AV79" i="1"/>
  <c r="AX79" i="1"/>
  <c r="BK79" i="1"/>
  <c r="BL79" i="1"/>
  <c r="BM79" i="1"/>
  <c r="BP79" i="1"/>
  <c r="BR79" i="1"/>
  <c r="I80" i="1"/>
  <c r="J80" i="1"/>
  <c r="K80" i="1"/>
  <c r="L80" i="1"/>
  <c r="M80" i="1"/>
  <c r="N80" i="1"/>
  <c r="O80" i="1"/>
  <c r="P80" i="1"/>
  <c r="Q80" i="1"/>
  <c r="R80" i="1"/>
  <c r="S80" i="1"/>
  <c r="T80" i="1"/>
  <c r="U80" i="1"/>
  <c r="V80" i="1"/>
  <c r="W80" i="1"/>
  <c r="X80" i="1"/>
  <c r="Y80" i="1"/>
  <c r="Z80" i="1"/>
  <c r="AA80" i="1"/>
  <c r="AB80" i="1"/>
  <c r="AC80" i="1"/>
  <c r="AD80" i="1"/>
  <c r="AE80" i="1"/>
  <c r="AF80" i="1"/>
  <c r="AG80" i="1"/>
  <c r="AH80" i="1"/>
  <c r="AI80" i="1"/>
  <c r="AP80" i="1"/>
  <c r="AQ80" i="1"/>
  <c r="AR80" i="1"/>
  <c r="AS80" i="1"/>
  <c r="AU80" i="1"/>
  <c r="AV80" i="1"/>
  <c r="AX80" i="1"/>
  <c r="BK80" i="1"/>
  <c r="BL80" i="1"/>
  <c r="BM80" i="1"/>
  <c r="BP80" i="1"/>
  <c r="BR80" i="1"/>
  <c r="I81" i="1"/>
  <c r="J81" i="1"/>
  <c r="K81" i="1"/>
  <c r="L81" i="1"/>
  <c r="M81" i="1"/>
  <c r="N81" i="1"/>
  <c r="O81" i="1"/>
  <c r="P81" i="1"/>
  <c r="Q81" i="1"/>
  <c r="R81" i="1"/>
  <c r="S81" i="1"/>
  <c r="T81" i="1"/>
  <c r="U81" i="1"/>
  <c r="V81" i="1"/>
  <c r="W81" i="1"/>
  <c r="X81" i="1"/>
  <c r="Y81" i="1"/>
  <c r="Z81" i="1"/>
  <c r="AA81" i="1"/>
  <c r="AB81" i="1"/>
  <c r="AC81" i="1"/>
  <c r="AD81" i="1"/>
  <c r="AE81" i="1"/>
  <c r="AF81" i="1"/>
  <c r="AG81" i="1"/>
  <c r="AH81" i="1"/>
  <c r="AI81" i="1"/>
  <c r="AP81" i="1"/>
  <c r="AQ81" i="1"/>
  <c r="AR81" i="1"/>
  <c r="AS81" i="1"/>
  <c r="AU81" i="1"/>
  <c r="AV81" i="1"/>
  <c r="AX81" i="1"/>
  <c r="BK81" i="1"/>
  <c r="BL81" i="1"/>
  <c r="BM81" i="1"/>
  <c r="BP81" i="1"/>
  <c r="BR81" i="1"/>
  <c r="I82" i="1"/>
  <c r="J82" i="1"/>
  <c r="K82" i="1"/>
  <c r="L82" i="1"/>
  <c r="M82" i="1"/>
  <c r="N82" i="1"/>
  <c r="O82" i="1"/>
  <c r="P82" i="1"/>
  <c r="Q82" i="1"/>
  <c r="R82" i="1"/>
  <c r="S82" i="1"/>
  <c r="T82" i="1"/>
  <c r="U82" i="1"/>
  <c r="V82" i="1"/>
  <c r="W82" i="1"/>
  <c r="X82" i="1"/>
  <c r="Y82" i="1"/>
  <c r="Z82" i="1"/>
  <c r="AA82" i="1"/>
  <c r="AB82" i="1"/>
  <c r="AC82" i="1"/>
  <c r="AD82" i="1"/>
  <c r="AE82" i="1"/>
  <c r="AF82" i="1"/>
  <c r="AG82" i="1"/>
  <c r="AH82" i="1"/>
  <c r="AI82" i="1"/>
  <c r="AP82" i="1"/>
  <c r="AQ82" i="1"/>
  <c r="AR82" i="1"/>
  <c r="AS82" i="1"/>
  <c r="AU82" i="1"/>
  <c r="AV82" i="1"/>
  <c r="AX82" i="1"/>
  <c r="BK82" i="1"/>
  <c r="BL82" i="1"/>
  <c r="BM82" i="1"/>
  <c r="BP82" i="1"/>
  <c r="BR82" i="1"/>
  <c r="I83" i="1"/>
  <c r="J83" i="1"/>
  <c r="K83" i="1"/>
  <c r="L83" i="1"/>
  <c r="M83" i="1"/>
  <c r="N83" i="1"/>
  <c r="O83" i="1"/>
  <c r="P83" i="1"/>
  <c r="Q83" i="1"/>
  <c r="R83" i="1"/>
  <c r="S83" i="1"/>
  <c r="T83" i="1"/>
  <c r="U83" i="1"/>
  <c r="V83" i="1"/>
  <c r="W83" i="1"/>
  <c r="X83" i="1"/>
  <c r="Y83" i="1"/>
  <c r="Z83" i="1"/>
  <c r="AA83" i="1"/>
  <c r="AB83" i="1"/>
  <c r="AC83" i="1"/>
  <c r="AD83" i="1"/>
  <c r="AE83" i="1"/>
  <c r="AF83" i="1"/>
  <c r="AG83" i="1"/>
  <c r="AH83" i="1"/>
  <c r="AI83" i="1"/>
  <c r="AP83" i="1"/>
  <c r="AQ83" i="1"/>
  <c r="AR83" i="1"/>
  <c r="AS83" i="1"/>
  <c r="AU83" i="1"/>
  <c r="AV83" i="1"/>
  <c r="AX83" i="1"/>
  <c r="BK83" i="1"/>
  <c r="BL83" i="1"/>
  <c r="BM83" i="1"/>
  <c r="BP83" i="1"/>
  <c r="BR83" i="1"/>
  <c r="I84" i="1"/>
  <c r="J84" i="1"/>
  <c r="K84" i="1"/>
  <c r="L84" i="1"/>
  <c r="M84" i="1"/>
  <c r="N84" i="1"/>
  <c r="O84" i="1"/>
  <c r="P84" i="1"/>
  <c r="Q84" i="1"/>
  <c r="R84" i="1"/>
  <c r="S84" i="1"/>
  <c r="T84" i="1"/>
  <c r="U84" i="1"/>
  <c r="V84" i="1"/>
  <c r="W84" i="1"/>
  <c r="X84" i="1"/>
  <c r="Y84" i="1"/>
  <c r="Z84" i="1"/>
  <c r="AA84" i="1"/>
  <c r="AB84" i="1"/>
  <c r="AC84" i="1"/>
  <c r="AD84" i="1"/>
  <c r="AE84" i="1"/>
  <c r="AF84" i="1"/>
  <c r="AG84" i="1"/>
  <c r="AH84" i="1"/>
  <c r="AI84" i="1"/>
  <c r="AP84" i="1"/>
  <c r="AQ84" i="1"/>
  <c r="AR84" i="1"/>
  <c r="AS84" i="1"/>
  <c r="AU84" i="1"/>
  <c r="AV84" i="1"/>
  <c r="AX84" i="1"/>
  <c r="BK84" i="1"/>
  <c r="BL84" i="1"/>
  <c r="BM84" i="1"/>
  <c r="BP84" i="1"/>
  <c r="BR84" i="1"/>
  <c r="I85" i="1"/>
  <c r="J85" i="1"/>
  <c r="K85" i="1"/>
  <c r="L85" i="1"/>
  <c r="M85" i="1"/>
  <c r="N85" i="1"/>
  <c r="O85" i="1"/>
  <c r="P85" i="1"/>
  <c r="Q85" i="1"/>
  <c r="R85" i="1"/>
  <c r="S85" i="1"/>
  <c r="T85" i="1"/>
  <c r="U85" i="1"/>
  <c r="V85" i="1"/>
  <c r="W85" i="1"/>
  <c r="X85" i="1"/>
  <c r="Y85" i="1"/>
  <c r="Z85" i="1"/>
  <c r="AA85" i="1"/>
  <c r="AB85" i="1"/>
  <c r="AC85" i="1"/>
  <c r="AD85" i="1"/>
  <c r="AE85" i="1"/>
  <c r="AF85" i="1"/>
  <c r="AG85" i="1"/>
  <c r="AH85" i="1"/>
  <c r="AI85" i="1"/>
  <c r="AP85" i="1"/>
  <c r="AQ85" i="1"/>
  <c r="AR85" i="1"/>
  <c r="AS85" i="1"/>
  <c r="AU85" i="1"/>
  <c r="AV85" i="1"/>
  <c r="AX85" i="1"/>
  <c r="BK85" i="1"/>
  <c r="BL85" i="1"/>
  <c r="BM85" i="1"/>
  <c r="BP85" i="1"/>
  <c r="BR85" i="1"/>
  <c r="I86" i="1"/>
  <c r="J86" i="1"/>
  <c r="K86" i="1"/>
  <c r="L86" i="1"/>
  <c r="M86" i="1"/>
  <c r="N86" i="1"/>
  <c r="O86" i="1"/>
  <c r="P86" i="1"/>
  <c r="Q86" i="1"/>
  <c r="R86" i="1"/>
  <c r="S86" i="1"/>
  <c r="T86" i="1"/>
  <c r="U86" i="1"/>
  <c r="V86" i="1"/>
  <c r="W86" i="1"/>
  <c r="X86" i="1"/>
  <c r="Y86" i="1"/>
  <c r="Z86" i="1"/>
  <c r="AA86" i="1"/>
  <c r="AB86" i="1"/>
  <c r="AC86" i="1"/>
  <c r="AD86" i="1"/>
  <c r="AE86" i="1"/>
  <c r="AF86" i="1"/>
  <c r="AG86" i="1"/>
  <c r="AH86" i="1"/>
  <c r="AI86" i="1"/>
  <c r="AP86" i="1"/>
  <c r="AQ86" i="1"/>
  <c r="AR86" i="1"/>
  <c r="AS86" i="1"/>
  <c r="AU86" i="1"/>
  <c r="AV86" i="1"/>
  <c r="AX86" i="1"/>
  <c r="BK86" i="1"/>
  <c r="BL86" i="1"/>
  <c r="BM86" i="1"/>
  <c r="BP86" i="1"/>
  <c r="BR86" i="1"/>
  <c r="I87" i="1"/>
  <c r="J87" i="1"/>
  <c r="K87" i="1"/>
  <c r="L87" i="1"/>
  <c r="M87" i="1"/>
  <c r="N87" i="1"/>
  <c r="O87" i="1"/>
  <c r="P87" i="1"/>
  <c r="Q87" i="1"/>
  <c r="R87" i="1"/>
  <c r="S87" i="1"/>
  <c r="T87" i="1"/>
  <c r="U87" i="1"/>
  <c r="V87" i="1"/>
  <c r="W87" i="1"/>
  <c r="X87" i="1"/>
  <c r="Y87" i="1"/>
  <c r="Z87" i="1"/>
  <c r="AA87" i="1"/>
  <c r="AB87" i="1"/>
  <c r="AC87" i="1"/>
  <c r="AD87" i="1"/>
  <c r="AE87" i="1"/>
  <c r="AF87" i="1"/>
  <c r="AG87" i="1"/>
  <c r="AH87" i="1"/>
  <c r="AI87" i="1"/>
  <c r="AP87" i="1"/>
  <c r="AQ87" i="1"/>
  <c r="AR87" i="1"/>
  <c r="AS87" i="1"/>
  <c r="AU87" i="1"/>
  <c r="AV87" i="1"/>
  <c r="AX87" i="1"/>
  <c r="BK87" i="1"/>
  <c r="BL87" i="1"/>
  <c r="BM87" i="1"/>
  <c r="BP87" i="1"/>
  <c r="BR87" i="1"/>
  <c r="I88" i="1"/>
  <c r="J88" i="1"/>
  <c r="K88" i="1"/>
  <c r="L88" i="1"/>
  <c r="M88" i="1"/>
  <c r="N88" i="1"/>
  <c r="O88" i="1"/>
  <c r="P88" i="1"/>
  <c r="Q88" i="1"/>
  <c r="R88" i="1"/>
  <c r="S88" i="1"/>
  <c r="T88" i="1"/>
  <c r="U88" i="1"/>
  <c r="V88" i="1"/>
  <c r="W88" i="1"/>
  <c r="X88" i="1"/>
  <c r="Y88" i="1"/>
  <c r="Z88" i="1"/>
  <c r="AA88" i="1"/>
  <c r="AB88" i="1"/>
  <c r="AC88" i="1"/>
  <c r="AD88" i="1"/>
  <c r="AE88" i="1"/>
  <c r="AF88" i="1"/>
  <c r="AG88" i="1"/>
  <c r="AH88" i="1"/>
  <c r="AI88" i="1"/>
  <c r="AP88" i="1"/>
  <c r="AQ88" i="1"/>
  <c r="AR88" i="1"/>
  <c r="AS88" i="1"/>
  <c r="AU88" i="1"/>
  <c r="AV88" i="1"/>
  <c r="AX88" i="1"/>
  <c r="BK88" i="1"/>
  <c r="BL88" i="1"/>
  <c r="BM88" i="1"/>
  <c r="BP88" i="1"/>
  <c r="BR88" i="1"/>
  <c r="I89" i="1"/>
  <c r="J89" i="1"/>
  <c r="K89" i="1"/>
  <c r="L89" i="1"/>
  <c r="M89" i="1"/>
  <c r="N89" i="1"/>
  <c r="O89" i="1"/>
  <c r="P89" i="1"/>
  <c r="Q89" i="1"/>
  <c r="R89" i="1"/>
  <c r="S89" i="1"/>
  <c r="T89" i="1"/>
  <c r="U89" i="1"/>
  <c r="V89" i="1"/>
  <c r="W89" i="1"/>
  <c r="X89" i="1"/>
  <c r="Y89" i="1"/>
  <c r="Z89" i="1"/>
  <c r="AA89" i="1"/>
  <c r="AB89" i="1"/>
  <c r="AC89" i="1"/>
  <c r="AD89" i="1"/>
  <c r="AE89" i="1"/>
  <c r="AF89" i="1"/>
  <c r="AG89" i="1"/>
  <c r="AH89" i="1"/>
  <c r="AI89" i="1"/>
  <c r="AP89" i="1"/>
  <c r="AQ89" i="1"/>
  <c r="AR89" i="1"/>
  <c r="AS89" i="1"/>
  <c r="AU89" i="1"/>
  <c r="AV89" i="1"/>
  <c r="AX89" i="1"/>
  <c r="BK89" i="1"/>
  <c r="BL89" i="1"/>
  <c r="BM89" i="1"/>
  <c r="BP89" i="1"/>
  <c r="BR89" i="1"/>
  <c r="I90" i="1"/>
  <c r="J90" i="1"/>
  <c r="K90" i="1"/>
  <c r="L90" i="1"/>
  <c r="M90" i="1"/>
  <c r="N90" i="1"/>
  <c r="O90" i="1"/>
  <c r="P90" i="1"/>
  <c r="Q90" i="1"/>
  <c r="R90" i="1"/>
  <c r="S90" i="1"/>
  <c r="T90" i="1"/>
  <c r="U90" i="1"/>
  <c r="V90" i="1"/>
  <c r="W90" i="1"/>
  <c r="X90" i="1"/>
  <c r="Y90" i="1"/>
  <c r="Z90" i="1"/>
  <c r="AA90" i="1"/>
  <c r="AB90" i="1"/>
  <c r="AC90" i="1"/>
  <c r="AD90" i="1"/>
  <c r="AE90" i="1"/>
  <c r="AF90" i="1"/>
  <c r="AG90" i="1"/>
  <c r="AH90" i="1"/>
  <c r="AI90" i="1"/>
  <c r="AP90" i="1"/>
  <c r="AQ90" i="1"/>
  <c r="AR90" i="1"/>
  <c r="AS90" i="1"/>
  <c r="AU90" i="1"/>
  <c r="AV90" i="1"/>
  <c r="AX90" i="1"/>
  <c r="BK90" i="1"/>
  <c r="BL90" i="1"/>
  <c r="BM90" i="1"/>
  <c r="BP90" i="1"/>
  <c r="BR90" i="1"/>
  <c r="I91" i="1"/>
  <c r="J91" i="1"/>
  <c r="K91" i="1"/>
  <c r="L91" i="1"/>
  <c r="M91" i="1"/>
  <c r="N91" i="1"/>
  <c r="O91" i="1"/>
  <c r="P91" i="1"/>
  <c r="Q91" i="1"/>
  <c r="R91" i="1"/>
  <c r="S91" i="1"/>
  <c r="T91" i="1"/>
  <c r="U91" i="1"/>
  <c r="V91" i="1"/>
  <c r="W91" i="1"/>
  <c r="X91" i="1"/>
  <c r="Y91" i="1"/>
  <c r="Z91" i="1"/>
  <c r="AA91" i="1"/>
  <c r="AB91" i="1"/>
  <c r="AC91" i="1"/>
  <c r="AD91" i="1"/>
  <c r="AE91" i="1"/>
  <c r="AF91" i="1"/>
  <c r="AG91" i="1"/>
  <c r="AH91" i="1"/>
  <c r="AI91" i="1"/>
  <c r="AP91" i="1"/>
  <c r="AQ91" i="1"/>
  <c r="AR91" i="1"/>
  <c r="AS91" i="1"/>
  <c r="AU91" i="1"/>
  <c r="AV91" i="1"/>
  <c r="AX91" i="1"/>
  <c r="BK91" i="1"/>
  <c r="BL91" i="1"/>
  <c r="BM91" i="1"/>
  <c r="BP91" i="1"/>
  <c r="BR91" i="1"/>
  <c r="I92" i="1"/>
  <c r="J92" i="1"/>
  <c r="K92" i="1"/>
  <c r="L92" i="1"/>
  <c r="M92" i="1"/>
  <c r="N92" i="1"/>
  <c r="O92" i="1"/>
  <c r="P92" i="1"/>
  <c r="Q92" i="1"/>
  <c r="R92" i="1"/>
  <c r="S92" i="1"/>
  <c r="T92" i="1"/>
  <c r="U92" i="1"/>
  <c r="V92" i="1"/>
  <c r="W92" i="1"/>
  <c r="X92" i="1"/>
  <c r="Y92" i="1"/>
  <c r="Z92" i="1"/>
  <c r="AA92" i="1"/>
  <c r="AB92" i="1"/>
  <c r="AC92" i="1"/>
  <c r="AD92" i="1"/>
  <c r="AE92" i="1"/>
  <c r="AF92" i="1"/>
  <c r="AG92" i="1"/>
  <c r="AH92" i="1"/>
  <c r="AI92" i="1"/>
  <c r="AP92" i="1"/>
  <c r="AQ92" i="1"/>
  <c r="AR92" i="1"/>
  <c r="AS92" i="1"/>
  <c r="AU92" i="1"/>
  <c r="AV92" i="1"/>
  <c r="AX92" i="1"/>
  <c r="BK92" i="1"/>
  <c r="BL92" i="1"/>
  <c r="BM92" i="1"/>
  <c r="BP92" i="1"/>
  <c r="BR92" i="1"/>
  <c r="I93" i="1"/>
  <c r="J93" i="1"/>
  <c r="K93" i="1"/>
  <c r="L93" i="1"/>
  <c r="M93" i="1"/>
  <c r="N93" i="1"/>
  <c r="O93" i="1"/>
  <c r="P93" i="1"/>
  <c r="Q93" i="1"/>
  <c r="R93" i="1"/>
  <c r="S93" i="1"/>
  <c r="T93" i="1"/>
  <c r="U93" i="1"/>
  <c r="V93" i="1"/>
  <c r="W93" i="1"/>
  <c r="X93" i="1"/>
  <c r="Y93" i="1"/>
  <c r="Z93" i="1"/>
  <c r="AA93" i="1"/>
  <c r="AB93" i="1"/>
  <c r="AC93" i="1"/>
  <c r="AD93" i="1"/>
  <c r="AE93" i="1"/>
  <c r="AF93" i="1"/>
  <c r="AG93" i="1"/>
  <c r="AH93" i="1"/>
  <c r="AI93" i="1"/>
  <c r="AP93" i="1"/>
  <c r="AQ93" i="1"/>
  <c r="AR93" i="1"/>
  <c r="AS93" i="1"/>
  <c r="AU93" i="1"/>
  <c r="AV93" i="1"/>
  <c r="AX93" i="1"/>
  <c r="BK93" i="1"/>
  <c r="BL93" i="1"/>
  <c r="BM93" i="1"/>
  <c r="BP93" i="1"/>
  <c r="BR93" i="1"/>
  <c r="I67" i="1"/>
  <c r="J67" i="1"/>
  <c r="K67" i="1"/>
  <c r="L67" i="1"/>
  <c r="M67" i="1"/>
  <c r="N67" i="1"/>
  <c r="O67" i="1"/>
  <c r="P67" i="1"/>
  <c r="Q67" i="1"/>
  <c r="R67" i="1"/>
  <c r="S67" i="1"/>
  <c r="T67" i="1"/>
  <c r="U67" i="1"/>
  <c r="V67" i="1"/>
  <c r="W67" i="1"/>
  <c r="X67" i="1"/>
  <c r="Y67" i="1"/>
  <c r="Z67" i="1"/>
  <c r="AA67" i="1"/>
  <c r="AB67" i="1"/>
  <c r="AC67" i="1"/>
  <c r="AD67" i="1"/>
  <c r="AE67" i="1"/>
  <c r="AF67" i="1"/>
  <c r="AG67" i="1"/>
  <c r="AH67" i="1"/>
  <c r="AI67" i="1"/>
  <c r="AP67" i="1"/>
  <c r="AQ67" i="1"/>
  <c r="AR67" i="1"/>
  <c r="AS67" i="1"/>
  <c r="AU67" i="1"/>
  <c r="AV67" i="1"/>
  <c r="AX67" i="1"/>
  <c r="BK67" i="1"/>
  <c r="BL67" i="1"/>
  <c r="BM67" i="1"/>
  <c r="BP67" i="1"/>
  <c r="BR67" i="1"/>
  <c r="I68" i="1"/>
  <c r="J68" i="1"/>
  <c r="K68" i="1"/>
  <c r="L68" i="1"/>
  <c r="M68" i="1"/>
  <c r="N68" i="1"/>
  <c r="O68" i="1"/>
  <c r="P68" i="1"/>
  <c r="Q68" i="1"/>
  <c r="R68" i="1"/>
  <c r="S68" i="1"/>
  <c r="T68" i="1"/>
  <c r="U68" i="1"/>
  <c r="V68" i="1"/>
  <c r="W68" i="1"/>
  <c r="X68" i="1"/>
  <c r="Y68" i="1"/>
  <c r="Z68" i="1"/>
  <c r="AA68" i="1"/>
  <c r="AB68" i="1"/>
  <c r="AC68" i="1"/>
  <c r="AD68" i="1"/>
  <c r="AE68" i="1"/>
  <c r="AF68" i="1"/>
  <c r="AG68" i="1"/>
  <c r="AH68" i="1"/>
  <c r="AI68" i="1"/>
  <c r="AP68" i="1"/>
  <c r="AQ68" i="1"/>
  <c r="AR68" i="1"/>
  <c r="AS68" i="1"/>
  <c r="AU68" i="1"/>
  <c r="AV68" i="1"/>
  <c r="AX68" i="1"/>
  <c r="BK68" i="1"/>
  <c r="BL68" i="1"/>
  <c r="BM68" i="1"/>
  <c r="BP68" i="1"/>
  <c r="BR68" i="1"/>
  <c r="I69" i="1"/>
  <c r="J69" i="1"/>
  <c r="K69" i="1"/>
  <c r="L69" i="1"/>
  <c r="M69" i="1"/>
  <c r="N69" i="1"/>
  <c r="O69" i="1"/>
  <c r="P69" i="1"/>
  <c r="Q69" i="1"/>
  <c r="R69" i="1"/>
  <c r="S69" i="1"/>
  <c r="T69" i="1"/>
  <c r="U69" i="1"/>
  <c r="V69" i="1"/>
  <c r="W69" i="1"/>
  <c r="X69" i="1"/>
  <c r="Y69" i="1"/>
  <c r="Z69" i="1"/>
  <c r="AA69" i="1"/>
  <c r="AB69" i="1"/>
  <c r="AC69" i="1"/>
  <c r="AD69" i="1"/>
  <c r="AE69" i="1"/>
  <c r="AF69" i="1"/>
  <c r="AG69" i="1"/>
  <c r="AH69" i="1"/>
  <c r="AI69" i="1"/>
  <c r="AP69" i="1"/>
  <c r="AQ69" i="1"/>
  <c r="AR69" i="1"/>
  <c r="AS69" i="1"/>
  <c r="AU69" i="1"/>
  <c r="AV69" i="1"/>
  <c r="AX69" i="1"/>
  <c r="BK69" i="1"/>
  <c r="BL69" i="1"/>
  <c r="BM69" i="1"/>
  <c r="BP69" i="1"/>
  <c r="BR69" i="1"/>
  <c r="I70" i="1"/>
  <c r="J70" i="1"/>
  <c r="K70" i="1"/>
  <c r="L70" i="1"/>
  <c r="M70" i="1"/>
  <c r="N70" i="1"/>
  <c r="O70" i="1"/>
  <c r="P70" i="1"/>
  <c r="Q70" i="1"/>
  <c r="R70" i="1"/>
  <c r="S70" i="1"/>
  <c r="T70" i="1"/>
  <c r="U70" i="1"/>
  <c r="V70" i="1"/>
  <c r="W70" i="1"/>
  <c r="X70" i="1"/>
  <c r="Y70" i="1"/>
  <c r="Z70" i="1"/>
  <c r="AA70" i="1"/>
  <c r="AB70" i="1"/>
  <c r="AC70" i="1"/>
  <c r="AD70" i="1"/>
  <c r="AE70" i="1"/>
  <c r="AF70" i="1"/>
  <c r="AG70" i="1"/>
  <c r="AH70" i="1"/>
  <c r="AI70" i="1"/>
  <c r="AP70" i="1"/>
  <c r="AQ70" i="1"/>
  <c r="AR70" i="1"/>
  <c r="AS70" i="1"/>
  <c r="AU70" i="1"/>
  <c r="AV70" i="1"/>
  <c r="AX70" i="1"/>
  <c r="BK70" i="1"/>
  <c r="BL70" i="1"/>
  <c r="BM70" i="1"/>
  <c r="BP70" i="1"/>
  <c r="BR70" i="1"/>
  <c r="I58" i="1"/>
  <c r="J58" i="1"/>
  <c r="K58" i="1"/>
  <c r="L58" i="1"/>
  <c r="M58" i="1"/>
  <c r="N58" i="1"/>
  <c r="O58" i="1"/>
  <c r="P58" i="1"/>
  <c r="Q58" i="1"/>
  <c r="R58" i="1"/>
  <c r="S58" i="1"/>
  <c r="T58" i="1"/>
  <c r="U58" i="1"/>
  <c r="V58" i="1"/>
  <c r="W58" i="1"/>
  <c r="X58" i="1"/>
  <c r="Y58" i="1"/>
  <c r="Z58" i="1"/>
  <c r="AA58" i="1"/>
  <c r="AB58" i="1"/>
  <c r="AC58" i="1"/>
  <c r="AD58" i="1"/>
  <c r="AE58" i="1"/>
  <c r="AF58" i="1"/>
  <c r="AG58" i="1"/>
  <c r="AH58" i="1"/>
  <c r="AI58" i="1"/>
  <c r="AP58" i="1"/>
  <c r="AQ58" i="1"/>
  <c r="AR58" i="1"/>
  <c r="AS58" i="1"/>
  <c r="AU58" i="1"/>
  <c r="AV58" i="1"/>
  <c r="AX58" i="1"/>
  <c r="BK58" i="1"/>
  <c r="BL58" i="1"/>
  <c r="BM58" i="1"/>
  <c r="BP58" i="1"/>
  <c r="BR58" i="1"/>
  <c r="I59" i="1"/>
  <c r="J59" i="1"/>
  <c r="K59" i="1"/>
  <c r="L59" i="1"/>
  <c r="M59" i="1"/>
  <c r="N59" i="1"/>
  <c r="O59" i="1"/>
  <c r="P59" i="1"/>
  <c r="Q59" i="1"/>
  <c r="R59" i="1"/>
  <c r="S59" i="1"/>
  <c r="T59" i="1"/>
  <c r="U59" i="1"/>
  <c r="V59" i="1"/>
  <c r="W59" i="1"/>
  <c r="X59" i="1"/>
  <c r="Y59" i="1"/>
  <c r="Z59" i="1"/>
  <c r="AA59" i="1"/>
  <c r="AB59" i="1"/>
  <c r="AC59" i="1"/>
  <c r="AD59" i="1"/>
  <c r="AE59" i="1"/>
  <c r="AF59" i="1"/>
  <c r="AG59" i="1"/>
  <c r="AH59" i="1"/>
  <c r="AI59" i="1"/>
  <c r="AP59" i="1"/>
  <c r="AQ59" i="1"/>
  <c r="AR59" i="1"/>
  <c r="AS59" i="1"/>
  <c r="AU59" i="1"/>
  <c r="AV59" i="1"/>
  <c r="AX59" i="1"/>
  <c r="BK59" i="1"/>
  <c r="BL59" i="1"/>
  <c r="BM59" i="1"/>
  <c r="BP59" i="1"/>
  <c r="BR59" i="1"/>
  <c r="I60" i="1"/>
  <c r="J60" i="1"/>
  <c r="K60" i="1"/>
  <c r="L60" i="1"/>
  <c r="M60" i="1"/>
  <c r="N60" i="1"/>
  <c r="O60" i="1"/>
  <c r="P60" i="1"/>
  <c r="Q60" i="1"/>
  <c r="R60" i="1"/>
  <c r="S60" i="1"/>
  <c r="T60" i="1"/>
  <c r="U60" i="1"/>
  <c r="V60" i="1"/>
  <c r="W60" i="1"/>
  <c r="X60" i="1"/>
  <c r="Y60" i="1"/>
  <c r="Z60" i="1"/>
  <c r="AA60" i="1"/>
  <c r="AB60" i="1"/>
  <c r="AC60" i="1"/>
  <c r="AD60" i="1"/>
  <c r="AE60" i="1"/>
  <c r="AF60" i="1"/>
  <c r="AG60" i="1"/>
  <c r="AH60" i="1"/>
  <c r="AI60" i="1"/>
  <c r="AP60" i="1"/>
  <c r="AQ60" i="1"/>
  <c r="AR60" i="1"/>
  <c r="AS60" i="1"/>
  <c r="AU60" i="1"/>
  <c r="AV60" i="1"/>
  <c r="AX60" i="1"/>
  <c r="BK60" i="1"/>
  <c r="BL60" i="1"/>
  <c r="BM60" i="1"/>
  <c r="BP60" i="1"/>
  <c r="BR60" i="1"/>
  <c r="I61" i="1"/>
  <c r="J61" i="1"/>
  <c r="K61" i="1"/>
  <c r="L61" i="1"/>
  <c r="M61" i="1"/>
  <c r="N61" i="1"/>
  <c r="O61" i="1"/>
  <c r="P61" i="1"/>
  <c r="Q61" i="1"/>
  <c r="R61" i="1"/>
  <c r="S61" i="1"/>
  <c r="T61" i="1"/>
  <c r="U61" i="1"/>
  <c r="V61" i="1"/>
  <c r="W61" i="1"/>
  <c r="X61" i="1"/>
  <c r="Y61" i="1"/>
  <c r="Z61" i="1"/>
  <c r="AA61" i="1"/>
  <c r="AB61" i="1"/>
  <c r="AC61" i="1"/>
  <c r="AD61" i="1"/>
  <c r="AE61" i="1"/>
  <c r="AF61" i="1"/>
  <c r="AG61" i="1"/>
  <c r="AH61" i="1"/>
  <c r="AI61" i="1"/>
  <c r="AP61" i="1"/>
  <c r="AQ61" i="1"/>
  <c r="AR61" i="1"/>
  <c r="AS61" i="1"/>
  <c r="AU61" i="1"/>
  <c r="AV61" i="1"/>
  <c r="AX61" i="1"/>
  <c r="BK61" i="1"/>
  <c r="BL61" i="1"/>
  <c r="BM61" i="1"/>
  <c r="BP61" i="1"/>
  <c r="BR61" i="1"/>
  <c r="I62" i="1"/>
  <c r="J62" i="1"/>
  <c r="K62" i="1"/>
  <c r="L62" i="1"/>
  <c r="M62" i="1"/>
  <c r="N62" i="1"/>
  <c r="O62" i="1"/>
  <c r="P62" i="1"/>
  <c r="Q62" i="1"/>
  <c r="R62" i="1"/>
  <c r="S62" i="1"/>
  <c r="T62" i="1"/>
  <c r="U62" i="1"/>
  <c r="V62" i="1"/>
  <c r="W62" i="1"/>
  <c r="X62" i="1"/>
  <c r="Y62" i="1"/>
  <c r="Z62" i="1"/>
  <c r="AA62" i="1"/>
  <c r="AB62" i="1"/>
  <c r="AC62" i="1"/>
  <c r="AD62" i="1"/>
  <c r="AE62" i="1"/>
  <c r="AF62" i="1"/>
  <c r="AG62" i="1"/>
  <c r="AH62" i="1"/>
  <c r="AI62" i="1"/>
  <c r="AP62" i="1"/>
  <c r="AQ62" i="1"/>
  <c r="AR62" i="1"/>
  <c r="AS62" i="1"/>
  <c r="AU62" i="1"/>
  <c r="AV62" i="1"/>
  <c r="AX62" i="1"/>
  <c r="BK62" i="1"/>
  <c r="BL62" i="1"/>
  <c r="BM62" i="1"/>
  <c r="BP62" i="1"/>
  <c r="BR62" i="1"/>
  <c r="I63" i="1"/>
  <c r="J63" i="1"/>
  <c r="K63" i="1"/>
  <c r="L63" i="1"/>
  <c r="M63" i="1"/>
  <c r="N63" i="1"/>
  <c r="O63" i="1"/>
  <c r="P63" i="1"/>
  <c r="Q63" i="1"/>
  <c r="R63" i="1"/>
  <c r="S63" i="1"/>
  <c r="T63" i="1"/>
  <c r="U63" i="1"/>
  <c r="V63" i="1"/>
  <c r="W63" i="1"/>
  <c r="X63" i="1"/>
  <c r="Y63" i="1"/>
  <c r="Z63" i="1"/>
  <c r="AA63" i="1"/>
  <c r="AB63" i="1"/>
  <c r="AC63" i="1"/>
  <c r="AD63" i="1"/>
  <c r="AE63" i="1"/>
  <c r="AF63" i="1"/>
  <c r="AG63" i="1"/>
  <c r="AH63" i="1"/>
  <c r="AI63" i="1"/>
  <c r="AP63" i="1"/>
  <c r="AQ63" i="1"/>
  <c r="AR63" i="1"/>
  <c r="AS63" i="1"/>
  <c r="AU63" i="1"/>
  <c r="AV63" i="1"/>
  <c r="AX63" i="1"/>
  <c r="BK63" i="1"/>
  <c r="BL63" i="1"/>
  <c r="BM63" i="1"/>
  <c r="BP63" i="1"/>
  <c r="BR63" i="1"/>
  <c r="I64" i="1"/>
  <c r="J64" i="1"/>
  <c r="K64" i="1"/>
  <c r="L64" i="1"/>
  <c r="M64" i="1"/>
  <c r="N64" i="1"/>
  <c r="O64" i="1"/>
  <c r="P64" i="1"/>
  <c r="Q64" i="1"/>
  <c r="R64" i="1"/>
  <c r="S64" i="1"/>
  <c r="T64" i="1"/>
  <c r="U64" i="1"/>
  <c r="V64" i="1"/>
  <c r="W64" i="1"/>
  <c r="X64" i="1"/>
  <c r="Y64" i="1"/>
  <c r="Z64" i="1"/>
  <c r="AA64" i="1"/>
  <c r="AB64" i="1"/>
  <c r="AC64" i="1"/>
  <c r="AD64" i="1"/>
  <c r="AE64" i="1"/>
  <c r="AF64" i="1"/>
  <c r="AG64" i="1"/>
  <c r="AH64" i="1"/>
  <c r="AI64" i="1"/>
  <c r="AP64" i="1"/>
  <c r="AQ64" i="1"/>
  <c r="AR64" i="1"/>
  <c r="AS64" i="1"/>
  <c r="AU64" i="1"/>
  <c r="AV64" i="1"/>
  <c r="AX64" i="1"/>
  <c r="BK64" i="1"/>
  <c r="BL64" i="1"/>
  <c r="BM64" i="1"/>
  <c r="BP64" i="1"/>
  <c r="BR64" i="1"/>
  <c r="I57" i="1"/>
  <c r="J57" i="1"/>
  <c r="K57" i="1"/>
  <c r="L57" i="1"/>
  <c r="M57" i="1"/>
  <c r="N57" i="1"/>
  <c r="O57" i="1"/>
  <c r="P57" i="1"/>
  <c r="Q57" i="1"/>
  <c r="R57" i="1"/>
  <c r="S57" i="1"/>
  <c r="T57" i="1"/>
  <c r="U57" i="1"/>
  <c r="V57" i="1"/>
  <c r="W57" i="1"/>
  <c r="X57" i="1"/>
  <c r="Y57" i="1"/>
  <c r="Z57" i="1"/>
  <c r="AA57" i="1"/>
  <c r="AB57" i="1"/>
  <c r="AC57" i="1"/>
  <c r="AD57" i="1"/>
  <c r="AE57" i="1"/>
  <c r="AF57" i="1"/>
  <c r="AG57" i="1"/>
  <c r="AH57" i="1"/>
  <c r="AI57" i="1"/>
  <c r="AP57" i="1"/>
  <c r="AQ57" i="1"/>
  <c r="AR57" i="1"/>
  <c r="AS57" i="1"/>
  <c r="AU57" i="1"/>
  <c r="AV57" i="1"/>
  <c r="AX57" i="1"/>
  <c r="BK57" i="1"/>
  <c r="BL57" i="1"/>
  <c r="BM57" i="1"/>
  <c r="BP57" i="1"/>
  <c r="BR57" i="1"/>
  <c r="I65" i="1"/>
  <c r="J65" i="1"/>
  <c r="K65" i="1"/>
  <c r="L65" i="1"/>
  <c r="M65" i="1"/>
  <c r="N65" i="1"/>
  <c r="O65" i="1"/>
  <c r="P65" i="1"/>
  <c r="Q65" i="1"/>
  <c r="R65" i="1"/>
  <c r="S65" i="1"/>
  <c r="T65" i="1"/>
  <c r="U65" i="1"/>
  <c r="V65" i="1"/>
  <c r="W65" i="1"/>
  <c r="X65" i="1"/>
  <c r="Y65" i="1"/>
  <c r="Z65" i="1"/>
  <c r="AA65" i="1"/>
  <c r="AB65" i="1"/>
  <c r="AC65" i="1"/>
  <c r="AD65" i="1"/>
  <c r="AE65" i="1"/>
  <c r="AF65" i="1"/>
  <c r="AG65" i="1"/>
  <c r="AH65" i="1"/>
  <c r="AI65" i="1"/>
  <c r="AP65" i="1"/>
  <c r="AQ65" i="1"/>
  <c r="AR65" i="1"/>
  <c r="AS65" i="1"/>
  <c r="AU65" i="1"/>
  <c r="AV65" i="1"/>
  <c r="AX65" i="1"/>
  <c r="BK65" i="1"/>
  <c r="BL65" i="1"/>
  <c r="BM65" i="1"/>
  <c r="BP65" i="1"/>
  <c r="BR65" i="1"/>
  <c r="I66" i="1"/>
  <c r="J66" i="1"/>
  <c r="K66" i="1"/>
  <c r="L66" i="1"/>
  <c r="M66" i="1"/>
  <c r="N66" i="1"/>
  <c r="O66" i="1"/>
  <c r="P66" i="1"/>
  <c r="Q66" i="1"/>
  <c r="R66" i="1"/>
  <c r="S66" i="1"/>
  <c r="T66" i="1"/>
  <c r="U66" i="1"/>
  <c r="V66" i="1"/>
  <c r="W66" i="1"/>
  <c r="X66" i="1"/>
  <c r="Y66" i="1"/>
  <c r="Z66" i="1"/>
  <c r="AA66" i="1"/>
  <c r="AB66" i="1"/>
  <c r="AC66" i="1"/>
  <c r="AD66" i="1"/>
  <c r="AE66" i="1"/>
  <c r="AF66" i="1"/>
  <c r="AG66" i="1"/>
  <c r="AH66" i="1"/>
  <c r="AI66" i="1"/>
  <c r="AP66" i="1"/>
  <c r="AQ66" i="1"/>
  <c r="AR66" i="1"/>
  <c r="AS66" i="1"/>
  <c r="AU66" i="1"/>
  <c r="AV66" i="1"/>
  <c r="AX66" i="1"/>
  <c r="BK66" i="1"/>
  <c r="BL66" i="1"/>
  <c r="BM66" i="1"/>
  <c r="BP66" i="1"/>
  <c r="BR66" i="1"/>
  <c r="I51" i="1"/>
  <c r="J51" i="1"/>
  <c r="K51" i="1"/>
  <c r="L51" i="1"/>
  <c r="M51" i="1"/>
  <c r="N51" i="1"/>
  <c r="O51" i="1"/>
  <c r="P51" i="1"/>
  <c r="Q51" i="1"/>
  <c r="R51" i="1"/>
  <c r="S51" i="1"/>
  <c r="T51" i="1"/>
  <c r="U51" i="1"/>
  <c r="V51" i="1"/>
  <c r="W51" i="1"/>
  <c r="X51" i="1"/>
  <c r="Y51" i="1"/>
  <c r="Z51" i="1"/>
  <c r="AA51" i="1"/>
  <c r="AB51" i="1"/>
  <c r="AC51" i="1"/>
  <c r="AD51" i="1"/>
  <c r="AE51" i="1"/>
  <c r="AF51" i="1"/>
  <c r="AG51" i="1"/>
  <c r="AH51" i="1"/>
  <c r="AI51" i="1"/>
  <c r="AP51" i="1"/>
  <c r="AQ51" i="1"/>
  <c r="AR51" i="1"/>
  <c r="AS51" i="1"/>
  <c r="AU51" i="1"/>
  <c r="AV51" i="1"/>
  <c r="AX51" i="1"/>
  <c r="BK51" i="1"/>
  <c r="BL51" i="1"/>
  <c r="BM51" i="1"/>
  <c r="BP51" i="1"/>
  <c r="BR51" i="1"/>
  <c r="I52" i="1"/>
  <c r="J52" i="1"/>
  <c r="K52" i="1"/>
  <c r="L52" i="1"/>
  <c r="M52" i="1"/>
  <c r="N52" i="1"/>
  <c r="O52" i="1"/>
  <c r="P52" i="1"/>
  <c r="Q52" i="1"/>
  <c r="R52" i="1"/>
  <c r="S52" i="1"/>
  <c r="T52" i="1"/>
  <c r="U52" i="1"/>
  <c r="V52" i="1"/>
  <c r="W52" i="1"/>
  <c r="X52" i="1"/>
  <c r="Y52" i="1"/>
  <c r="Z52" i="1"/>
  <c r="AA52" i="1"/>
  <c r="AB52" i="1"/>
  <c r="AC52" i="1"/>
  <c r="AD52" i="1"/>
  <c r="AE52" i="1"/>
  <c r="AF52" i="1"/>
  <c r="AG52" i="1"/>
  <c r="AH52" i="1"/>
  <c r="AI52" i="1"/>
  <c r="AP52" i="1"/>
  <c r="AQ52" i="1"/>
  <c r="AR52" i="1"/>
  <c r="AS52" i="1"/>
  <c r="AU52" i="1"/>
  <c r="AV52" i="1"/>
  <c r="AX52" i="1"/>
  <c r="BK52" i="1"/>
  <c r="BL52" i="1"/>
  <c r="BM52" i="1"/>
  <c r="BP52" i="1"/>
  <c r="BR52" i="1"/>
  <c r="I53" i="1"/>
  <c r="J53" i="1"/>
  <c r="K53" i="1"/>
  <c r="L53" i="1"/>
  <c r="M53" i="1"/>
  <c r="N53" i="1"/>
  <c r="O53" i="1"/>
  <c r="P53" i="1"/>
  <c r="Q53" i="1"/>
  <c r="R53" i="1"/>
  <c r="S53" i="1"/>
  <c r="T53" i="1"/>
  <c r="U53" i="1"/>
  <c r="V53" i="1"/>
  <c r="W53" i="1"/>
  <c r="X53" i="1"/>
  <c r="Y53" i="1"/>
  <c r="Z53" i="1"/>
  <c r="AA53" i="1"/>
  <c r="AB53" i="1"/>
  <c r="AC53" i="1"/>
  <c r="AD53" i="1"/>
  <c r="AE53" i="1"/>
  <c r="AF53" i="1"/>
  <c r="AG53" i="1"/>
  <c r="AH53" i="1"/>
  <c r="AI53" i="1"/>
  <c r="AP53" i="1"/>
  <c r="AQ53" i="1"/>
  <c r="AR53" i="1"/>
  <c r="AS53" i="1"/>
  <c r="AU53" i="1"/>
  <c r="AV53" i="1"/>
  <c r="AX53" i="1"/>
  <c r="BK53" i="1"/>
  <c r="BL53" i="1"/>
  <c r="BM53" i="1"/>
  <c r="BP53" i="1"/>
  <c r="BR53" i="1"/>
  <c r="I54" i="1"/>
  <c r="J54" i="1"/>
  <c r="K54" i="1"/>
  <c r="L54" i="1"/>
  <c r="M54" i="1"/>
  <c r="N54" i="1"/>
  <c r="O54" i="1"/>
  <c r="P54" i="1"/>
  <c r="Q54" i="1"/>
  <c r="R54" i="1"/>
  <c r="S54" i="1"/>
  <c r="T54" i="1"/>
  <c r="U54" i="1"/>
  <c r="V54" i="1"/>
  <c r="W54" i="1"/>
  <c r="X54" i="1"/>
  <c r="Y54" i="1"/>
  <c r="Z54" i="1"/>
  <c r="AA54" i="1"/>
  <c r="AB54" i="1"/>
  <c r="AC54" i="1"/>
  <c r="AD54" i="1"/>
  <c r="AE54" i="1"/>
  <c r="AF54" i="1"/>
  <c r="AG54" i="1"/>
  <c r="AH54" i="1"/>
  <c r="AI54" i="1"/>
  <c r="AP54" i="1"/>
  <c r="AQ54" i="1"/>
  <c r="AR54" i="1"/>
  <c r="AS54" i="1"/>
  <c r="AU54" i="1"/>
  <c r="AV54" i="1"/>
  <c r="AX54" i="1"/>
  <c r="BK54" i="1"/>
  <c r="BL54" i="1"/>
  <c r="BM54" i="1"/>
  <c r="BP54" i="1"/>
  <c r="BR54" i="1"/>
  <c r="I44" i="1"/>
  <c r="J44" i="1"/>
  <c r="K44" i="1"/>
  <c r="L44" i="1"/>
  <c r="M44" i="1"/>
  <c r="N44" i="1"/>
  <c r="O44" i="1"/>
  <c r="P44" i="1"/>
  <c r="Q44" i="1"/>
  <c r="R44" i="1"/>
  <c r="S44" i="1"/>
  <c r="T44" i="1"/>
  <c r="U44" i="1"/>
  <c r="V44" i="1"/>
  <c r="W44" i="1"/>
  <c r="X44" i="1"/>
  <c r="Y44" i="1"/>
  <c r="Z44" i="1"/>
  <c r="AA44" i="1"/>
  <c r="AB44" i="1"/>
  <c r="AC44" i="1"/>
  <c r="AD44" i="1"/>
  <c r="AE44" i="1"/>
  <c r="AF44" i="1"/>
  <c r="AG44" i="1"/>
  <c r="AH44" i="1"/>
  <c r="AI44" i="1"/>
  <c r="AP44" i="1"/>
  <c r="AQ44" i="1"/>
  <c r="AR44" i="1"/>
  <c r="AS44" i="1"/>
  <c r="AU44" i="1"/>
  <c r="AV44" i="1"/>
  <c r="AX44" i="1"/>
  <c r="BK44" i="1"/>
  <c r="BL44" i="1"/>
  <c r="BM44" i="1"/>
  <c r="BP44" i="1"/>
  <c r="BR44" i="1"/>
  <c r="I45" i="1"/>
  <c r="J45" i="1"/>
  <c r="K45" i="1"/>
  <c r="L45" i="1"/>
  <c r="M45" i="1"/>
  <c r="N45" i="1"/>
  <c r="O45" i="1"/>
  <c r="P45" i="1"/>
  <c r="Q45" i="1"/>
  <c r="R45" i="1"/>
  <c r="S45" i="1"/>
  <c r="T45" i="1"/>
  <c r="U45" i="1"/>
  <c r="V45" i="1"/>
  <c r="W45" i="1"/>
  <c r="X45" i="1"/>
  <c r="Y45" i="1"/>
  <c r="Z45" i="1"/>
  <c r="AA45" i="1"/>
  <c r="AB45" i="1"/>
  <c r="AC45" i="1"/>
  <c r="AD45" i="1"/>
  <c r="AE45" i="1"/>
  <c r="AF45" i="1"/>
  <c r="AG45" i="1"/>
  <c r="AH45" i="1"/>
  <c r="AI45" i="1"/>
  <c r="AP45" i="1"/>
  <c r="AQ45" i="1"/>
  <c r="AR45" i="1"/>
  <c r="AS45" i="1"/>
  <c r="AU45" i="1"/>
  <c r="AV45" i="1"/>
  <c r="AX45" i="1"/>
  <c r="BK45" i="1"/>
  <c r="BL45" i="1"/>
  <c r="BM45" i="1"/>
  <c r="BP45" i="1"/>
  <c r="BR45" i="1"/>
  <c r="I46" i="1"/>
  <c r="J46" i="1"/>
  <c r="K46" i="1"/>
  <c r="L46" i="1"/>
  <c r="M46" i="1"/>
  <c r="N46" i="1"/>
  <c r="O46" i="1"/>
  <c r="P46" i="1"/>
  <c r="Q46" i="1"/>
  <c r="R46" i="1"/>
  <c r="S46" i="1"/>
  <c r="T46" i="1"/>
  <c r="U46" i="1"/>
  <c r="V46" i="1"/>
  <c r="W46" i="1"/>
  <c r="X46" i="1"/>
  <c r="Y46" i="1"/>
  <c r="Z46" i="1"/>
  <c r="AA46" i="1"/>
  <c r="AB46" i="1"/>
  <c r="AC46" i="1"/>
  <c r="AD46" i="1"/>
  <c r="AE46" i="1"/>
  <c r="AF46" i="1"/>
  <c r="AG46" i="1"/>
  <c r="AH46" i="1"/>
  <c r="AI46" i="1"/>
  <c r="AP46" i="1"/>
  <c r="AQ46" i="1"/>
  <c r="AR46" i="1"/>
  <c r="AS46" i="1"/>
  <c r="AU46" i="1"/>
  <c r="AV46" i="1"/>
  <c r="AX46" i="1"/>
  <c r="BK46" i="1"/>
  <c r="BL46" i="1"/>
  <c r="BM46" i="1"/>
  <c r="BP46" i="1"/>
  <c r="BR46" i="1"/>
  <c r="I47" i="1"/>
  <c r="J47" i="1"/>
  <c r="K47" i="1"/>
  <c r="L47" i="1"/>
  <c r="M47" i="1"/>
  <c r="N47" i="1"/>
  <c r="O47" i="1"/>
  <c r="P47" i="1"/>
  <c r="Q47" i="1"/>
  <c r="R47" i="1"/>
  <c r="S47" i="1"/>
  <c r="T47" i="1"/>
  <c r="U47" i="1"/>
  <c r="V47" i="1"/>
  <c r="W47" i="1"/>
  <c r="X47" i="1"/>
  <c r="Y47" i="1"/>
  <c r="Z47" i="1"/>
  <c r="AA47" i="1"/>
  <c r="AB47" i="1"/>
  <c r="AC47" i="1"/>
  <c r="AD47" i="1"/>
  <c r="AE47" i="1"/>
  <c r="AF47" i="1"/>
  <c r="AG47" i="1"/>
  <c r="AH47" i="1"/>
  <c r="AI47" i="1"/>
  <c r="AP47" i="1"/>
  <c r="AQ47" i="1"/>
  <c r="AR47" i="1"/>
  <c r="AS47" i="1"/>
  <c r="AU47" i="1"/>
  <c r="AV47" i="1"/>
  <c r="AX47" i="1"/>
  <c r="BK47" i="1"/>
  <c r="BL47" i="1"/>
  <c r="BM47" i="1"/>
  <c r="BP47" i="1"/>
  <c r="BR47" i="1"/>
  <c r="I48" i="1"/>
  <c r="J48" i="1"/>
  <c r="K48" i="1"/>
  <c r="L48" i="1"/>
  <c r="M48" i="1"/>
  <c r="N48" i="1"/>
  <c r="O48" i="1"/>
  <c r="P48" i="1"/>
  <c r="Q48" i="1"/>
  <c r="R48" i="1"/>
  <c r="S48" i="1"/>
  <c r="T48" i="1"/>
  <c r="U48" i="1"/>
  <c r="V48" i="1"/>
  <c r="W48" i="1"/>
  <c r="X48" i="1"/>
  <c r="Y48" i="1"/>
  <c r="Z48" i="1"/>
  <c r="AA48" i="1"/>
  <c r="AB48" i="1"/>
  <c r="AC48" i="1"/>
  <c r="AD48" i="1"/>
  <c r="AE48" i="1"/>
  <c r="AF48" i="1"/>
  <c r="AG48" i="1"/>
  <c r="AH48" i="1"/>
  <c r="AI48" i="1"/>
  <c r="AP48" i="1"/>
  <c r="AQ48" i="1"/>
  <c r="AR48" i="1"/>
  <c r="AS48" i="1"/>
  <c r="AU48" i="1"/>
  <c r="AV48" i="1"/>
  <c r="AX48" i="1"/>
  <c r="BK48" i="1"/>
  <c r="BL48" i="1"/>
  <c r="BM48" i="1"/>
  <c r="BP48" i="1"/>
  <c r="BR48" i="1"/>
  <c r="I49" i="1"/>
  <c r="J49" i="1"/>
  <c r="K49" i="1"/>
  <c r="L49" i="1"/>
  <c r="M49" i="1"/>
  <c r="N49" i="1"/>
  <c r="O49" i="1"/>
  <c r="P49" i="1"/>
  <c r="Q49" i="1"/>
  <c r="R49" i="1"/>
  <c r="S49" i="1"/>
  <c r="T49" i="1"/>
  <c r="U49" i="1"/>
  <c r="V49" i="1"/>
  <c r="W49" i="1"/>
  <c r="X49" i="1"/>
  <c r="Y49" i="1"/>
  <c r="Z49" i="1"/>
  <c r="AA49" i="1"/>
  <c r="AB49" i="1"/>
  <c r="AC49" i="1"/>
  <c r="AD49" i="1"/>
  <c r="AE49" i="1"/>
  <c r="AF49" i="1"/>
  <c r="AG49" i="1"/>
  <c r="AH49" i="1"/>
  <c r="AI49" i="1"/>
  <c r="AP49" i="1"/>
  <c r="AQ49" i="1"/>
  <c r="AR49" i="1"/>
  <c r="AS49" i="1"/>
  <c r="AU49" i="1"/>
  <c r="AV49" i="1"/>
  <c r="AX49" i="1"/>
  <c r="BK49" i="1"/>
  <c r="BL49" i="1"/>
  <c r="BM49" i="1"/>
  <c r="BP49" i="1"/>
  <c r="BR49" i="1"/>
  <c r="I50" i="1"/>
  <c r="J50" i="1"/>
  <c r="K50" i="1"/>
  <c r="L50" i="1"/>
  <c r="M50" i="1"/>
  <c r="N50" i="1"/>
  <c r="O50" i="1"/>
  <c r="P50" i="1"/>
  <c r="Q50" i="1"/>
  <c r="R50" i="1"/>
  <c r="S50" i="1"/>
  <c r="T50" i="1"/>
  <c r="U50" i="1"/>
  <c r="V50" i="1"/>
  <c r="W50" i="1"/>
  <c r="X50" i="1"/>
  <c r="Y50" i="1"/>
  <c r="Z50" i="1"/>
  <c r="AA50" i="1"/>
  <c r="AB50" i="1"/>
  <c r="AC50" i="1"/>
  <c r="AD50" i="1"/>
  <c r="AE50" i="1"/>
  <c r="AF50" i="1"/>
  <c r="AG50" i="1"/>
  <c r="AH50" i="1"/>
  <c r="AI50" i="1"/>
  <c r="AP50" i="1"/>
  <c r="AQ50" i="1"/>
  <c r="AR50" i="1"/>
  <c r="AS50" i="1"/>
  <c r="AU50" i="1"/>
  <c r="AV50" i="1"/>
  <c r="AX50" i="1"/>
  <c r="BK50" i="1"/>
  <c r="BL50" i="1"/>
  <c r="BM50" i="1"/>
  <c r="BP50" i="1"/>
  <c r="BR50" i="1"/>
  <c r="I42" i="1"/>
  <c r="J42" i="1"/>
  <c r="K42" i="1"/>
  <c r="L42" i="1"/>
  <c r="M42" i="1"/>
  <c r="N42" i="1"/>
  <c r="O42" i="1"/>
  <c r="P42" i="1"/>
  <c r="Q42" i="1"/>
  <c r="R42" i="1"/>
  <c r="S42" i="1"/>
  <c r="T42" i="1"/>
  <c r="U42" i="1"/>
  <c r="V42" i="1"/>
  <c r="W42" i="1"/>
  <c r="X42" i="1"/>
  <c r="Y42" i="1"/>
  <c r="Z42" i="1"/>
  <c r="AA42" i="1"/>
  <c r="AB42" i="1"/>
  <c r="AC42" i="1"/>
  <c r="AD42" i="1"/>
  <c r="AE42" i="1"/>
  <c r="AF42" i="1"/>
  <c r="AG42" i="1"/>
  <c r="AH42" i="1"/>
  <c r="AI42" i="1"/>
  <c r="AP42" i="1"/>
  <c r="AQ42" i="1"/>
  <c r="AR42" i="1"/>
  <c r="AS42" i="1"/>
  <c r="AU42" i="1"/>
  <c r="AV42" i="1"/>
  <c r="AX42" i="1"/>
  <c r="BK42" i="1"/>
  <c r="BL42" i="1"/>
  <c r="BM42" i="1"/>
  <c r="BP42" i="1"/>
  <c r="BR42" i="1"/>
  <c r="I43" i="1"/>
  <c r="J43" i="1"/>
  <c r="K43" i="1"/>
  <c r="L43" i="1"/>
  <c r="M43" i="1"/>
  <c r="N43" i="1"/>
  <c r="O43" i="1"/>
  <c r="P43" i="1"/>
  <c r="Q43" i="1"/>
  <c r="R43" i="1"/>
  <c r="S43" i="1"/>
  <c r="T43" i="1"/>
  <c r="U43" i="1"/>
  <c r="V43" i="1"/>
  <c r="W43" i="1"/>
  <c r="X43" i="1"/>
  <c r="Y43" i="1"/>
  <c r="Z43" i="1"/>
  <c r="AA43" i="1"/>
  <c r="AB43" i="1"/>
  <c r="AC43" i="1"/>
  <c r="AD43" i="1"/>
  <c r="AE43" i="1"/>
  <c r="AF43" i="1"/>
  <c r="AG43" i="1"/>
  <c r="AH43" i="1"/>
  <c r="AI43" i="1"/>
  <c r="AP43" i="1"/>
  <c r="AQ43" i="1"/>
  <c r="AR43" i="1"/>
  <c r="AS43" i="1"/>
  <c r="AU43" i="1"/>
  <c r="AV43" i="1"/>
  <c r="AX43" i="1"/>
  <c r="BK43" i="1"/>
  <c r="BL43" i="1"/>
  <c r="BM43" i="1"/>
  <c r="BP43" i="1"/>
  <c r="BR43" i="1"/>
  <c r="I39" i="1"/>
  <c r="J39" i="1"/>
  <c r="K39" i="1"/>
  <c r="L39" i="1"/>
  <c r="M39" i="1"/>
  <c r="N39" i="1"/>
  <c r="O39" i="1"/>
  <c r="P39" i="1"/>
  <c r="Q39" i="1"/>
  <c r="R39" i="1"/>
  <c r="S39" i="1"/>
  <c r="T39" i="1"/>
  <c r="U39" i="1"/>
  <c r="V39" i="1"/>
  <c r="W39" i="1"/>
  <c r="X39" i="1"/>
  <c r="Y39" i="1"/>
  <c r="Z39" i="1"/>
  <c r="AA39" i="1"/>
  <c r="AB39" i="1"/>
  <c r="AC39" i="1"/>
  <c r="AD39" i="1"/>
  <c r="AE39" i="1"/>
  <c r="AF39" i="1"/>
  <c r="AG39" i="1"/>
  <c r="AH39" i="1"/>
  <c r="AI39" i="1"/>
  <c r="AP39" i="1"/>
  <c r="AQ39" i="1"/>
  <c r="AR39" i="1"/>
  <c r="AS39" i="1"/>
  <c r="AU39" i="1"/>
  <c r="AV39" i="1"/>
  <c r="AX39" i="1"/>
  <c r="BK39" i="1"/>
  <c r="BL39" i="1"/>
  <c r="BM39" i="1"/>
  <c r="BP39" i="1"/>
  <c r="BR39" i="1"/>
  <c r="I40" i="1"/>
  <c r="J40" i="1"/>
  <c r="K40" i="1"/>
  <c r="L40" i="1"/>
  <c r="M40" i="1"/>
  <c r="N40" i="1"/>
  <c r="O40" i="1"/>
  <c r="P40" i="1"/>
  <c r="Q40" i="1"/>
  <c r="R40" i="1"/>
  <c r="S40" i="1"/>
  <c r="T40" i="1"/>
  <c r="U40" i="1"/>
  <c r="V40" i="1"/>
  <c r="W40" i="1"/>
  <c r="X40" i="1"/>
  <c r="Y40" i="1"/>
  <c r="Z40" i="1"/>
  <c r="AA40" i="1"/>
  <c r="AB40" i="1"/>
  <c r="AC40" i="1"/>
  <c r="AD40" i="1"/>
  <c r="AE40" i="1"/>
  <c r="AF40" i="1"/>
  <c r="AG40" i="1"/>
  <c r="AH40" i="1"/>
  <c r="AI40" i="1"/>
  <c r="AP40" i="1"/>
  <c r="AQ40" i="1"/>
  <c r="AR40" i="1"/>
  <c r="AS40" i="1"/>
  <c r="AU40" i="1"/>
  <c r="AV40" i="1"/>
  <c r="AX40" i="1"/>
  <c r="BK40" i="1"/>
  <c r="BL40" i="1"/>
  <c r="BM40" i="1"/>
  <c r="BP40" i="1"/>
  <c r="BR40" i="1"/>
  <c r="I41" i="1"/>
  <c r="J41" i="1"/>
  <c r="K41" i="1"/>
  <c r="L41" i="1"/>
  <c r="M41" i="1"/>
  <c r="N41" i="1"/>
  <c r="O41" i="1"/>
  <c r="P41" i="1"/>
  <c r="Q41" i="1"/>
  <c r="R41" i="1"/>
  <c r="S41" i="1"/>
  <c r="T41" i="1"/>
  <c r="U41" i="1"/>
  <c r="V41" i="1"/>
  <c r="W41" i="1"/>
  <c r="X41" i="1"/>
  <c r="Y41" i="1"/>
  <c r="Z41" i="1"/>
  <c r="AA41" i="1"/>
  <c r="AB41" i="1"/>
  <c r="AC41" i="1"/>
  <c r="AD41" i="1"/>
  <c r="AE41" i="1"/>
  <c r="AF41" i="1"/>
  <c r="AG41" i="1"/>
  <c r="AH41" i="1"/>
  <c r="AI41" i="1"/>
  <c r="AP41" i="1"/>
  <c r="AQ41" i="1"/>
  <c r="AR41" i="1"/>
  <c r="AS41" i="1"/>
  <c r="AU41" i="1"/>
  <c r="AV41" i="1"/>
  <c r="AX41" i="1"/>
  <c r="BK41" i="1"/>
  <c r="BL41" i="1"/>
  <c r="BM41" i="1"/>
  <c r="BP41" i="1"/>
  <c r="BR41"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P36" i="1"/>
  <c r="AQ36" i="1"/>
  <c r="AR36" i="1"/>
  <c r="AS36" i="1"/>
  <c r="AU36" i="1"/>
  <c r="AV36" i="1"/>
  <c r="AX36" i="1"/>
  <c r="BK36" i="1"/>
  <c r="BL36" i="1"/>
  <c r="BM36" i="1"/>
  <c r="BP36" i="1"/>
  <c r="BR36" i="1"/>
  <c r="I37" i="1"/>
  <c r="J37" i="1"/>
  <c r="K37" i="1"/>
  <c r="L37" i="1"/>
  <c r="M37" i="1"/>
  <c r="N37" i="1"/>
  <c r="O37" i="1"/>
  <c r="P37" i="1"/>
  <c r="Q37" i="1"/>
  <c r="R37" i="1"/>
  <c r="S37" i="1"/>
  <c r="T37" i="1"/>
  <c r="U37" i="1"/>
  <c r="V37" i="1"/>
  <c r="W37" i="1"/>
  <c r="X37" i="1"/>
  <c r="Y37" i="1"/>
  <c r="Z37" i="1"/>
  <c r="AA37" i="1"/>
  <c r="AB37" i="1"/>
  <c r="AC37" i="1"/>
  <c r="AD37" i="1"/>
  <c r="AE37" i="1"/>
  <c r="AF37" i="1"/>
  <c r="AG37" i="1"/>
  <c r="AH37" i="1"/>
  <c r="AI37" i="1"/>
  <c r="AP37" i="1"/>
  <c r="AQ37" i="1"/>
  <c r="AR37" i="1"/>
  <c r="AS37" i="1"/>
  <c r="AU37" i="1"/>
  <c r="AV37" i="1"/>
  <c r="AX37" i="1"/>
  <c r="BK37" i="1"/>
  <c r="BL37" i="1"/>
  <c r="BM37" i="1"/>
  <c r="BP37" i="1"/>
  <c r="BR37" i="1"/>
  <c r="I38" i="1"/>
  <c r="J38" i="1"/>
  <c r="K38" i="1"/>
  <c r="L38" i="1"/>
  <c r="M38" i="1"/>
  <c r="N38" i="1"/>
  <c r="O38" i="1"/>
  <c r="P38" i="1"/>
  <c r="Q38" i="1"/>
  <c r="R38" i="1"/>
  <c r="S38" i="1"/>
  <c r="T38" i="1"/>
  <c r="U38" i="1"/>
  <c r="V38" i="1"/>
  <c r="W38" i="1"/>
  <c r="X38" i="1"/>
  <c r="Y38" i="1"/>
  <c r="Z38" i="1"/>
  <c r="AA38" i="1"/>
  <c r="AB38" i="1"/>
  <c r="AC38" i="1"/>
  <c r="AD38" i="1"/>
  <c r="AE38" i="1"/>
  <c r="AF38" i="1"/>
  <c r="AG38" i="1"/>
  <c r="AH38" i="1"/>
  <c r="AI38" i="1"/>
  <c r="AP38" i="1"/>
  <c r="AQ38" i="1"/>
  <c r="AR38" i="1"/>
  <c r="AS38" i="1"/>
  <c r="AU38" i="1"/>
  <c r="AV38" i="1"/>
  <c r="AX38" i="1"/>
  <c r="BK38" i="1"/>
  <c r="BL38" i="1"/>
  <c r="BM38" i="1"/>
  <c r="BP38" i="1"/>
  <c r="BR3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P28" i="1"/>
  <c r="AQ28" i="1"/>
  <c r="AR28" i="1"/>
  <c r="AS28" i="1"/>
  <c r="AU28" i="1"/>
  <c r="AV28" i="1"/>
  <c r="AX28" i="1"/>
  <c r="BK28" i="1"/>
  <c r="BL28" i="1"/>
  <c r="BM28" i="1"/>
  <c r="BP28" i="1"/>
  <c r="BR28"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P29" i="1"/>
  <c r="AQ29" i="1"/>
  <c r="AR29" i="1"/>
  <c r="AS29" i="1"/>
  <c r="AU29" i="1"/>
  <c r="AV29" i="1"/>
  <c r="AX29" i="1"/>
  <c r="BK29" i="1"/>
  <c r="BL29" i="1"/>
  <c r="BM29" i="1"/>
  <c r="BP29" i="1"/>
  <c r="BR29"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P30" i="1"/>
  <c r="AQ30" i="1"/>
  <c r="AR30" i="1"/>
  <c r="AS30" i="1"/>
  <c r="AU30" i="1"/>
  <c r="AV30" i="1"/>
  <c r="AX30" i="1"/>
  <c r="BK30" i="1"/>
  <c r="BL30" i="1"/>
  <c r="BM30" i="1"/>
  <c r="BP30" i="1"/>
  <c r="BR30" i="1"/>
  <c r="I31" i="1"/>
  <c r="J31" i="1"/>
  <c r="K31" i="1"/>
  <c r="L31" i="1"/>
  <c r="M31" i="1"/>
  <c r="N31" i="1"/>
  <c r="O31" i="1"/>
  <c r="P31" i="1"/>
  <c r="Q31" i="1"/>
  <c r="R31" i="1"/>
  <c r="S31" i="1"/>
  <c r="T31" i="1"/>
  <c r="U31" i="1"/>
  <c r="V31" i="1"/>
  <c r="W31" i="1"/>
  <c r="X31" i="1"/>
  <c r="Y31" i="1"/>
  <c r="Z31" i="1"/>
  <c r="AA31" i="1"/>
  <c r="AB31" i="1"/>
  <c r="AC31" i="1"/>
  <c r="AD31" i="1"/>
  <c r="AE31" i="1"/>
  <c r="AF31" i="1"/>
  <c r="AG31" i="1"/>
  <c r="AH31" i="1"/>
  <c r="AI31" i="1"/>
  <c r="AP31" i="1"/>
  <c r="AQ31" i="1"/>
  <c r="AR31" i="1"/>
  <c r="AS31" i="1"/>
  <c r="AU31" i="1"/>
  <c r="AV31" i="1"/>
  <c r="AX31" i="1"/>
  <c r="BK31" i="1"/>
  <c r="BL31" i="1"/>
  <c r="BM31" i="1"/>
  <c r="BP31" i="1"/>
  <c r="BR31" i="1"/>
  <c r="I32" i="1"/>
  <c r="J32" i="1"/>
  <c r="K32" i="1"/>
  <c r="L32" i="1"/>
  <c r="M32" i="1"/>
  <c r="N32" i="1"/>
  <c r="O32" i="1"/>
  <c r="P32" i="1"/>
  <c r="Q32" i="1"/>
  <c r="R32" i="1"/>
  <c r="S32" i="1"/>
  <c r="T32" i="1"/>
  <c r="U32" i="1"/>
  <c r="V32" i="1"/>
  <c r="W32" i="1"/>
  <c r="X32" i="1"/>
  <c r="Y32" i="1"/>
  <c r="Z32" i="1"/>
  <c r="AA32" i="1"/>
  <c r="AB32" i="1"/>
  <c r="AC32" i="1"/>
  <c r="AD32" i="1"/>
  <c r="AE32" i="1"/>
  <c r="AF32" i="1"/>
  <c r="AG32" i="1"/>
  <c r="AH32" i="1"/>
  <c r="AI32" i="1"/>
  <c r="AP32" i="1"/>
  <c r="AQ32" i="1"/>
  <c r="AR32" i="1"/>
  <c r="AS32" i="1"/>
  <c r="AU32" i="1"/>
  <c r="AV32" i="1"/>
  <c r="AX32" i="1"/>
  <c r="BK32" i="1"/>
  <c r="BL32" i="1"/>
  <c r="BM32" i="1"/>
  <c r="BP32" i="1"/>
  <c r="BR32" i="1"/>
  <c r="I33" i="1"/>
  <c r="J33" i="1"/>
  <c r="K33" i="1"/>
  <c r="L33" i="1"/>
  <c r="M33" i="1"/>
  <c r="N33" i="1"/>
  <c r="O33" i="1"/>
  <c r="P33" i="1"/>
  <c r="Q33" i="1"/>
  <c r="R33" i="1"/>
  <c r="S33" i="1"/>
  <c r="T33" i="1"/>
  <c r="U33" i="1"/>
  <c r="V33" i="1"/>
  <c r="W33" i="1"/>
  <c r="X33" i="1"/>
  <c r="Y33" i="1"/>
  <c r="Z33" i="1"/>
  <c r="AA33" i="1"/>
  <c r="AB33" i="1"/>
  <c r="AC33" i="1"/>
  <c r="AD33" i="1"/>
  <c r="AE33" i="1"/>
  <c r="AF33" i="1"/>
  <c r="AG33" i="1"/>
  <c r="AH33" i="1"/>
  <c r="AI33" i="1"/>
  <c r="AP33" i="1"/>
  <c r="AQ33" i="1"/>
  <c r="AR33" i="1"/>
  <c r="AS33" i="1"/>
  <c r="AU33" i="1"/>
  <c r="AV33" i="1"/>
  <c r="AX33" i="1"/>
  <c r="BK33" i="1"/>
  <c r="BL33" i="1"/>
  <c r="BM33" i="1"/>
  <c r="BP33" i="1"/>
  <c r="BR33"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P34" i="1"/>
  <c r="AQ34" i="1"/>
  <c r="AR34" i="1"/>
  <c r="AS34" i="1"/>
  <c r="AU34" i="1"/>
  <c r="AV34" i="1"/>
  <c r="AX34" i="1"/>
  <c r="BK34" i="1"/>
  <c r="BL34" i="1"/>
  <c r="BM34" i="1"/>
  <c r="BP34" i="1"/>
  <c r="BR34" i="1"/>
  <c r="I35" i="1"/>
  <c r="J35" i="1"/>
  <c r="K35" i="1"/>
  <c r="L35" i="1"/>
  <c r="M35" i="1"/>
  <c r="N35" i="1"/>
  <c r="O35" i="1"/>
  <c r="P35" i="1"/>
  <c r="Q35" i="1"/>
  <c r="R35" i="1"/>
  <c r="S35" i="1"/>
  <c r="T35" i="1"/>
  <c r="U35" i="1"/>
  <c r="V35" i="1"/>
  <c r="W35" i="1"/>
  <c r="X35" i="1"/>
  <c r="Y35" i="1"/>
  <c r="Z35" i="1"/>
  <c r="AA35" i="1"/>
  <c r="AB35" i="1"/>
  <c r="AC35" i="1"/>
  <c r="AD35" i="1"/>
  <c r="AE35" i="1"/>
  <c r="AF35" i="1"/>
  <c r="AG35" i="1"/>
  <c r="AH35" i="1"/>
  <c r="AI35" i="1"/>
  <c r="AP35" i="1"/>
  <c r="AQ35" i="1"/>
  <c r="AR35" i="1"/>
  <c r="AS35" i="1"/>
  <c r="AU35" i="1"/>
  <c r="AV35" i="1"/>
  <c r="AX35" i="1"/>
  <c r="BK35" i="1"/>
  <c r="BL35" i="1"/>
  <c r="BM35" i="1"/>
  <c r="BP35" i="1"/>
  <c r="BR35" i="1"/>
  <c r="I18" i="1"/>
  <c r="J18" i="1"/>
  <c r="K18" i="1"/>
  <c r="L18" i="1"/>
  <c r="M18" i="1"/>
  <c r="N18" i="1"/>
  <c r="O18" i="1"/>
  <c r="P18" i="1"/>
  <c r="Q18" i="1"/>
  <c r="R18" i="1"/>
  <c r="S18" i="1"/>
  <c r="T18" i="1"/>
  <c r="U18" i="1"/>
  <c r="V18" i="1"/>
  <c r="W18" i="1"/>
  <c r="X18" i="1"/>
  <c r="Y18" i="1"/>
  <c r="Z18" i="1"/>
  <c r="AA18" i="1"/>
  <c r="AB18" i="1"/>
  <c r="AC18" i="1"/>
  <c r="AD18" i="1"/>
  <c r="AE18" i="1"/>
  <c r="AF18" i="1"/>
  <c r="AG18" i="1"/>
  <c r="AH18" i="1"/>
  <c r="AI18" i="1"/>
  <c r="AP18" i="1"/>
  <c r="AQ18" i="1"/>
  <c r="AR18" i="1"/>
  <c r="AS18" i="1"/>
  <c r="AU18" i="1"/>
  <c r="AV18" i="1"/>
  <c r="AX18" i="1"/>
  <c r="BK18" i="1"/>
  <c r="BL18" i="1"/>
  <c r="BM18" i="1"/>
  <c r="BP18" i="1"/>
  <c r="BR18"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P19" i="1"/>
  <c r="AQ19" i="1"/>
  <c r="AR19" i="1"/>
  <c r="AS19" i="1"/>
  <c r="AU19" i="1"/>
  <c r="AV19" i="1"/>
  <c r="AX19" i="1"/>
  <c r="BK19" i="1"/>
  <c r="BL19" i="1"/>
  <c r="BM19" i="1"/>
  <c r="BP19" i="1"/>
  <c r="BR19"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P20" i="1"/>
  <c r="AQ20" i="1"/>
  <c r="AR20" i="1"/>
  <c r="AS20" i="1"/>
  <c r="AU20" i="1"/>
  <c r="AV20" i="1"/>
  <c r="AX20" i="1"/>
  <c r="BK20" i="1"/>
  <c r="BL20" i="1"/>
  <c r="BM20" i="1"/>
  <c r="BP20" i="1"/>
  <c r="BR20"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P21" i="1"/>
  <c r="AQ21" i="1"/>
  <c r="AR21" i="1"/>
  <c r="AS21" i="1"/>
  <c r="AU21" i="1"/>
  <c r="AV21" i="1"/>
  <c r="AX21" i="1"/>
  <c r="BK21" i="1"/>
  <c r="BL21" i="1"/>
  <c r="BM21" i="1"/>
  <c r="BP21" i="1"/>
  <c r="BR21" i="1"/>
  <c r="I22" i="1"/>
  <c r="J22" i="1"/>
  <c r="K22" i="1"/>
  <c r="L22" i="1"/>
  <c r="M22" i="1"/>
  <c r="N22" i="1"/>
  <c r="O22" i="1"/>
  <c r="P22" i="1"/>
  <c r="Q22" i="1"/>
  <c r="R22" i="1"/>
  <c r="S22" i="1"/>
  <c r="T22" i="1"/>
  <c r="U22" i="1"/>
  <c r="V22" i="1"/>
  <c r="W22" i="1"/>
  <c r="X22" i="1"/>
  <c r="Y22" i="1"/>
  <c r="Z22" i="1"/>
  <c r="AA22" i="1"/>
  <c r="AB22" i="1"/>
  <c r="AC22" i="1"/>
  <c r="AD22" i="1"/>
  <c r="AE22" i="1"/>
  <c r="AF22" i="1"/>
  <c r="AG22" i="1"/>
  <c r="AH22" i="1"/>
  <c r="AI22" i="1"/>
  <c r="AP22" i="1"/>
  <c r="AQ22" i="1"/>
  <c r="AR22" i="1"/>
  <c r="AS22" i="1"/>
  <c r="AU22" i="1"/>
  <c r="AV22" i="1"/>
  <c r="AX22" i="1"/>
  <c r="BK22" i="1"/>
  <c r="BL22" i="1"/>
  <c r="BM22" i="1"/>
  <c r="BP22" i="1"/>
  <c r="BR22" i="1"/>
  <c r="I23" i="1"/>
  <c r="J23" i="1"/>
  <c r="K23" i="1"/>
  <c r="L23" i="1"/>
  <c r="M23" i="1"/>
  <c r="N23" i="1"/>
  <c r="O23" i="1"/>
  <c r="P23" i="1"/>
  <c r="Q23" i="1"/>
  <c r="R23" i="1"/>
  <c r="S23" i="1"/>
  <c r="T23" i="1"/>
  <c r="U23" i="1"/>
  <c r="V23" i="1"/>
  <c r="W23" i="1"/>
  <c r="X23" i="1"/>
  <c r="Y23" i="1"/>
  <c r="Z23" i="1"/>
  <c r="AA23" i="1"/>
  <c r="AB23" i="1"/>
  <c r="AC23" i="1"/>
  <c r="AD23" i="1"/>
  <c r="AE23" i="1"/>
  <c r="AF23" i="1"/>
  <c r="AG23" i="1"/>
  <c r="AH23" i="1"/>
  <c r="AI23" i="1"/>
  <c r="AP23" i="1"/>
  <c r="AQ23" i="1"/>
  <c r="AR23" i="1"/>
  <c r="AS23" i="1"/>
  <c r="AU23" i="1"/>
  <c r="AV23" i="1"/>
  <c r="AX23" i="1"/>
  <c r="BK23" i="1"/>
  <c r="BL23" i="1"/>
  <c r="BM23" i="1"/>
  <c r="BP23" i="1"/>
  <c r="BR23" i="1"/>
  <c r="I24" i="1"/>
  <c r="J24" i="1"/>
  <c r="K24" i="1"/>
  <c r="L24" i="1"/>
  <c r="M24" i="1"/>
  <c r="N24" i="1"/>
  <c r="O24" i="1"/>
  <c r="P24" i="1"/>
  <c r="Q24" i="1"/>
  <c r="R24" i="1"/>
  <c r="S24" i="1"/>
  <c r="T24" i="1"/>
  <c r="U24" i="1"/>
  <c r="V24" i="1"/>
  <c r="W24" i="1"/>
  <c r="X24" i="1"/>
  <c r="Y24" i="1"/>
  <c r="Z24" i="1"/>
  <c r="AA24" i="1"/>
  <c r="AB24" i="1"/>
  <c r="AC24" i="1"/>
  <c r="AD24" i="1"/>
  <c r="AE24" i="1"/>
  <c r="AF24" i="1"/>
  <c r="AG24" i="1"/>
  <c r="AH24" i="1"/>
  <c r="AI24" i="1"/>
  <c r="AP24" i="1"/>
  <c r="AQ24" i="1"/>
  <c r="AR24" i="1"/>
  <c r="AS24" i="1"/>
  <c r="AU24" i="1"/>
  <c r="AV24" i="1"/>
  <c r="AX24" i="1"/>
  <c r="BK24" i="1"/>
  <c r="BL24" i="1"/>
  <c r="BM24" i="1"/>
  <c r="BP24" i="1"/>
  <c r="BR24"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P25" i="1"/>
  <c r="AQ25" i="1"/>
  <c r="AR25" i="1"/>
  <c r="AS25" i="1"/>
  <c r="AU25" i="1"/>
  <c r="AV25" i="1"/>
  <c r="AX25" i="1"/>
  <c r="BK25" i="1"/>
  <c r="BL25" i="1"/>
  <c r="BM25" i="1"/>
  <c r="BP25" i="1"/>
  <c r="BR25" i="1"/>
  <c r="I26" i="1"/>
  <c r="J26" i="1"/>
  <c r="K26" i="1"/>
  <c r="L26" i="1"/>
  <c r="M26" i="1"/>
  <c r="N26" i="1"/>
  <c r="O26" i="1"/>
  <c r="P26" i="1"/>
  <c r="Q26" i="1"/>
  <c r="R26" i="1"/>
  <c r="S26" i="1"/>
  <c r="T26" i="1"/>
  <c r="U26" i="1"/>
  <c r="V26" i="1"/>
  <c r="W26" i="1"/>
  <c r="X26" i="1"/>
  <c r="Y26" i="1"/>
  <c r="Z26" i="1"/>
  <c r="AA26" i="1"/>
  <c r="AB26" i="1"/>
  <c r="AC26" i="1"/>
  <c r="AD26" i="1"/>
  <c r="AE26" i="1"/>
  <c r="AF26" i="1"/>
  <c r="AG26" i="1"/>
  <c r="AH26" i="1"/>
  <c r="AI26" i="1"/>
  <c r="AP26" i="1"/>
  <c r="AQ26" i="1"/>
  <c r="AR26" i="1"/>
  <c r="AS26" i="1"/>
  <c r="AU26" i="1"/>
  <c r="AV26" i="1"/>
  <c r="AX26" i="1"/>
  <c r="BK26" i="1"/>
  <c r="BL26" i="1"/>
  <c r="BM26" i="1"/>
  <c r="BP26" i="1"/>
  <c r="BR26"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P27" i="1"/>
  <c r="AQ27" i="1"/>
  <c r="AR27" i="1"/>
  <c r="AS27" i="1"/>
  <c r="AU27" i="1"/>
  <c r="AV27" i="1"/>
  <c r="AX27" i="1"/>
  <c r="BK27" i="1"/>
  <c r="BL27" i="1"/>
  <c r="BM27" i="1"/>
  <c r="BP27" i="1"/>
  <c r="BR27"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P13" i="1"/>
  <c r="AQ13" i="1"/>
  <c r="AR13" i="1"/>
  <c r="AS13" i="1"/>
  <c r="AU13" i="1"/>
  <c r="AV13" i="1"/>
  <c r="AX13" i="1"/>
  <c r="BK13" i="1"/>
  <c r="BL13" i="1"/>
  <c r="BM13" i="1"/>
  <c r="BP13" i="1"/>
  <c r="BR13"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P14" i="1"/>
  <c r="AQ14" i="1"/>
  <c r="AR14" i="1"/>
  <c r="AS14" i="1"/>
  <c r="AU14" i="1"/>
  <c r="AV14" i="1"/>
  <c r="AX14" i="1"/>
  <c r="BK14" i="1"/>
  <c r="BL14" i="1"/>
  <c r="BM14" i="1"/>
  <c r="BP14" i="1"/>
  <c r="BR14"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P15" i="1"/>
  <c r="AQ15" i="1"/>
  <c r="AR15" i="1"/>
  <c r="AS15" i="1"/>
  <c r="AU15" i="1"/>
  <c r="AV15" i="1"/>
  <c r="AX15" i="1"/>
  <c r="BK15" i="1"/>
  <c r="BL15" i="1"/>
  <c r="BM15" i="1"/>
  <c r="BP15" i="1"/>
  <c r="BR15"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P16" i="1"/>
  <c r="AQ16" i="1"/>
  <c r="AR16" i="1"/>
  <c r="AS16" i="1"/>
  <c r="AU16" i="1"/>
  <c r="AV16" i="1"/>
  <c r="AX16" i="1"/>
  <c r="BK16" i="1"/>
  <c r="BL16" i="1"/>
  <c r="BM16" i="1"/>
  <c r="BP16" i="1"/>
  <c r="BR16"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P17" i="1"/>
  <c r="AQ17" i="1"/>
  <c r="AR17" i="1"/>
  <c r="AS17" i="1"/>
  <c r="AU17" i="1"/>
  <c r="AV17" i="1"/>
  <c r="AX17" i="1"/>
  <c r="BK17" i="1"/>
  <c r="BL17" i="1"/>
  <c r="BM17" i="1"/>
  <c r="BP17" i="1"/>
  <c r="BR17" i="1"/>
  <c r="I7" i="1"/>
  <c r="J7" i="1"/>
  <c r="K7" i="1"/>
  <c r="L7" i="1"/>
  <c r="M7" i="1"/>
  <c r="N7" i="1"/>
  <c r="O7" i="1"/>
  <c r="P7" i="1"/>
  <c r="Q7" i="1"/>
  <c r="R7" i="1"/>
  <c r="S7" i="1"/>
  <c r="T7" i="1"/>
  <c r="U7" i="1"/>
  <c r="V7" i="1"/>
  <c r="W7" i="1"/>
  <c r="X7" i="1"/>
  <c r="Y7" i="1"/>
  <c r="Z7" i="1"/>
  <c r="AA7" i="1"/>
  <c r="AB7" i="1"/>
  <c r="AC7" i="1"/>
  <c r="AD7" i="1"/>
  <c r="AE7" i="1"/>
  <c r="AF7" i="1"/>
  <c r="AG7" i="1"/>
  <c r="AH7" i="1"/>
  <c r="AI7" i="1"/>
  <c r="AP7" i="1"/>
  <c r="AQ7" i="1"/>
  <c r="AR7" i="1"/>
  <c r="AS7" i="1"/>
  <c r="AU7" i="1"/>
  <c r="AV7" i="1"/>
  <c r="AX7" i="1"/>
  <c r="BK7" i="1"/>
  <c r="BL7" i="1"/>
  <c r="BM7" i="1"/>
  <c r="BP7" i="1"/>
  <c r="BR7" i="1"/>
  <c r="I8" i="1"/>
  <c r="J8" i="1"/>
  <c r="K8" i="1"/>
  <c r="L8" i="1"/>
  <c r="M8" i="1"/>
  <c r="N8" i="1"/>
  <c r="O8" i="1"/>
  <c r="P8" i="1"/>
  <c r="Q8" i="1"/>
  <c r="R8" i="1"/>
  <c r="S8" i="1"/>
  <c r="T8" i="1"/>
  <c r="U8" i="1"/>
  <c r="V8" i="1"/>
  <c r="W8" i="1"/>
  <c r="X8" i="1"/>
  <c r="Y8" i="1"/>
  <c r="Z8" i="1"/>
  <c r="AA8" i="1"/>
  <c r="AB8" i="1"/>
  <c r="AC8" i="1"/>
  <c r="AD8" i="1"/>
  <c r="AE8" i="1"/>
  <c r="AF8" i="1"/>
  <c r="AG8" i="1"/>
  <c r="AH8" i="1"/>
  <c r="AI8" i="1"/>
  <c r="AP8" i="1"/>
  <c r="AQ8" i="1"/>
  <c r="AR8" i="1"/>
  <c r="AS8" i="1"/>
  <c r="AU8" i="1"/>
  <c r="AV8" i="1"/>
  <c r="AX8" i="1"/>
  <c r="BK8" i="1"/>
  <c r="BL8" i="1"/>
  <c r="BM8" i="1"/>
  <c r="BP8" i="1"/>
  <c r="BR8" i="1"/>
  <c r="I9" i="1"/>
  <c r="J9" i="1"/>
  <c r="K9" i="1"/>
  <c r="L9" i="1"/>
  <c r="M9" i="1"/>
  <c r="N9" i="1"/>
  <c r="O9" i="1"/>
  <c r="P9" i="1"/>
  <c r="Q9" i="1"/>
  <c r="R9" i="1"/>
  <c r="S9" i="1"/>
  <c r="T9" i="1"/>
  <c r="U9" i="1"/>
  <c r="V9" i="1"/>
  <c r="W9" i="1"/>
  <c r="X9" i="1"/>
  <c r="Y9" i="1"/>
  <c r="Z9" i="1"/>
  <c r="AA9" i="1"/>
  <c r="AB9" i="1"/>
  <c r="AC9" i="1"/>
  <c r="AD9" i="1"/>
  <c r="AE9" i="1"/>
  <c r="AF9" i="1"/>
  <c r="AG9" i="1"/>
  <c r="AH9" i="1"/>
  <c r="AI9" i="1"/>
  <c r="AP9" i="1"/>
  <c r="AQ9" i="1"/>
  <c r="AR9" i="1"/>
  <c r="AS9" i="1"/>
  <c r="AU9" i="1"/>
  <c r="AV9" i="1"/>
  <c r="AX9" i="1"/>
  <c r="BK9" i="1"/>
  <c r="BL9" i="1"/>
  <c r="BM9" i="1"/>
  <c r="BP9" i="1"/>
  <c r="BR9"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P10" i="1"/>
  <c r="AQ10" i="1"/>
  <c r="AR10" i="1"/>
  <c r="AS10" i="1"/>
  <c r="AU10" i="1"/>
  <c r="AV10" i="1"/>
  <c r="AX10" i="1"/>
  <c r="BK10" i="1"/>
  <c r="BL10" i="1"/>
  <c r="BM10" i="1"/>
  <c r="BP10" i="1"/>
  <c r="BR10" i="1"/>
  <c r="I11" i="1"/>
  <c r="J11" i="1"/>
  <c r="K11" i="1"/>
  <c r="L11" i="1"/>
  <c r="M11" i="1"/>
  <c r="N11" i="1"/>
  <c r="O11" i="1"/>
  <c r="P11" i="1"/>
  <c r="Q11" i="1"/>
  <c r="R11" i="1"/>
  <c r="S11" i="1"/>
  <c r="T11" i="1"/>
  <c r="U11" i="1"/>
  <c r="V11" i="1"/>
  <c r="W11" i="1"/>
  <c r="X11" i="1"/>
  <c r="Y11" i="1"/>
  <c r="Z11" i="1"/>
  <c r="AA11" i="1"/>
  <c r="AB11" i="1"/>
  <c r="AC11" i="1"/>
  <c r="AD11" i="1"/>
  <c r="AE11" i="1"/>
  <c r="AF11" i="1"/>
  <c r="AG11" i="1"/>
  <c r="AH11" i="1"/>
  <c r="AI11" i="1"/>
  <c r="AP11" i="1"/>
  <c r="AQ11" i="1"/>
  <c r="AR11" i="1"/>
  <c r="AS11" i="1"/>
  <c r="AU11" i="1"/>
  <c r="AV11" i="1"/>
  <c r="AX11" i="1"/>
  <c r="BK11" i="1"/>
  <c r="BL11" i="1"/>
  <c r="BM11" i="1"/>
  <c r="BP11" i="1"/>
  <c r="BR11" i="1"/>
  <c r="I12" i="1"/>
  <c r="J12" i="1"/>
  <c r="K12" i="1"/>
  <c r="L12" i="1"/>
  <c r="M12" i="1"/>
  <c r="N12" i="1"/>
  <c r="O12" i="1"/>
  <c r="P12" i="1"/>
  <c r="Q12" i="1"/>
  <c r="R12" i="1"/>
  <c r="S12" i="1"/>
  <c r="T12" i="1"/>
  <c r="U12" i="1"/>
  <c r="V12" i="1"/>
  <c r="W12" i="1"/>
  <c r="X12" i="1"/>
  <c r="Y12" i="1"/>
  <c r="Z12" i="1"/>
  <c r="AA12" i="1"/>
  <c r="AB12" i="1"/>
  <c r="AC12" i="1"/>
  <c r="AD12" i="1"/>
  <c r="AE12" i="1"/>
  <c r="AF12" i="1"/>
  <c r="AG12" i="1"/>
  <c r="AH12" i="1"/>
  <c r="AI12" i="1"/>
  <c r="AP12" i="1"/>
  <c r="AQ12" i="1"/>
  <c r="AR12" i="1"/>
  <c r="AS12" i="1"/>
  <c r="AU12" i="1"/>
  <c r="AV12" i="1"/>
  <c r="AX12" i="1"/>
  <c r="BK12" i="1"/>
  <c r="BL12" i="1"/>
  <c r="BM12" i="1"/>
  <c r="BP12" i="1"/>
  <c r="BR12" i="1"/>
  <c r="I4" i="1"/>
  <c r="J4" i="1"/>
  <c r="K4" i="1"/>
  <c r="L4" i="1"/>
  <c r="M4" i="1"/>
  <c r="N4" i="1"/>
  <c r="O4" i="1"/>
  <c r="P4" i="1"/>
  <c r="Q4" i="1"/>
  <c r="R4" i="1"/>
  <c r="S4" i="1"/>
  <c r="T4" i="1"/>
  <c r="U4" i="1"/>
  <c r="V4" i="1"/>
  <c r="W4" i="1"/>
  <c r="X4" i="1"/>
  <c r="Y4" i="1"/>
  <c r="Z4" i="1"/>
  <c r="AA4" i="1"/>
  <c r="AB4" i="1"/>
  <c r="AC4" i="1"/>
  <c r="AD4" i="1"/>
  <c r="AE4" i="1"/>
  <c r="AF4" i="1"/>
  <c r="AG4" i="1"/>
  <c r="AH4" i="1"/>
  <c r="AI4" i="1"/>
  <c r="AP4" i="1"/>
  <c r="AQ4" i="1"/>
  <c r="AR4" i="1"/>
  <c r="AS4" i="1"/>
  <c r="AU4" i="1"/>
  <c r="AV4" i="1"/>
  <c r="AX4" i="1"/>
  <c r="BK4" i="1"/>
  <c r="BL4" i="1"/>
  <c r="BM4" i="1"/>
  <c r="BP4" i="1"/>
  <c r="BR4" i="1"/>
  <c r="I5" i="1"/>
  <c r="J5" i="1"/>
  <c r="K5" i="1"/>
  <c r="L5" i="1"/>
  <c r="M5" i="1"/>
  <c r="N5" i="1"/>
  <c r="O5" i="1"/>
  <c r="P5" i="1"/>
  <c r="Q5" i="1"/>
  <c r="R5" i="1"/>
  <c r="S5" i="1"/>
  <c r="T5" i="1"/>
  <c r="U5" i="1"/>
  <c r="V5" i="1"/>
  <c r="W5" i="1"/>
  <c r="X5" i="1"/>
  <c r="Y5" i="1"/>
  <c r="Z5" i="1"/>
  <c r="AA5" i="1"/>
  <c r="AB5" i="1"/>
  <c r="AC5" i="1"/>
  <c r="AD5" i="1"/>
  <c r="AE5" i="1"/>
  <c r="AF5" i="1"/>
  <c r="AG5" i="1"/>
  <c r="AH5" i="1"/>
  <c r="AI5" i="1"/>
  <c r="AP5" i="1"/>
  <c r="AQ5" i="1"/>
  <c r="AR5" i="1"/>
  <c r="AS5" i="1"/>
  <c r="AU5" i="1"/>
  <c r="AV5" i="1"/>
  <c r="AX5" i="1"/>
  <c r="BK5" i="1"/>
  <c r="BL5" i="1"/>
  <c r="BM5" i="1"/>
  <c r="BP5" i="1"/>
  <c r="BR5" i="1"/>
  <c r="I6" i="1"/>
  <c r="J6" i="1"/>
  <c r="K6" i="1"/>
  <c r="L6" i="1"/>
  <c r="M6" i="1"/>
  <c r="N6" i="1"/>
  <c r="O6" i="1"/>
  <c r="P6" i="1"/>
  <c r="Q6" i="1"/>
  <c r="R6" i="1"/>
  <c r="S6" i="1"/>
  <c r="T6" i="1"/>
  <c r="U6" i="1"/>
  <c r="V6" i="1"/>
  <c r="W6" i="1"/>
  <c r="X6" i="1"/>
  <c r="Y6" i="1"/>
  <c r="Z6" i="1"/>
  <c r="AA6" i="1"/>
  <c r="AB6" i="1"/>
  <c r="AC6" i="1"/>
  <c r="AD6" i="1"/>
  <c r="AE6" i="1"/>
  <c r="AF6" i="1"/>
  <c r="AG6" i="1"/>
  <c r="AH6" i="1"/>
  <c r="AI6" i="1"/>
  <c r="AP6" i="1"/>
  <c r="AQ6" i="1"/>
  <c r="AR6" i="1"/>
  <c r="AS6" i="1"/>
  <c r="AU6" i="1"/>
  <c r="AV6" i="1"/>
  <c r="AX6" i="1"/>
  <c r="BK6" i="1"/>
  <c r="BL6" i="1"/>
  <c r="BM6" i="1"/>
  <c r="BP6" i="1"/>
  <c r="BR6" i="1"/>
  <c r="I2" i="1"/>
  <c r="J2" i="1"/>
  <c r="K2" i="1"/>
  <c r="L2" i="1"/>
  <c r="M2" i="1"/>
  <c r="N2" i="1"/>
  <c r="O2" i="1"/>
  <c r="P2" i="1"/>
  <c r="Q2" i="1"/>
  <c r="R2" i="1"/>
  <c r="S2" i="1"/>
  <c r="T2" i="1"/>
  <c r="U2" i="1"/>
  <c r="V2" i="1"/>
  <c r="W2" i="1"/>
  <c r="X2" i="1"/>
  <c r="Y2" i="1"/>
  <c r="Z2" i="1"/>
  <c r="AA2" i="1"/>
  <c r="AB2" i="1"/>
  <c r="AC2" i="1"/>
  <c r="AD2" i="1"/>
  <c r="AE2" i="1"/>
  <c r="AF2" i="1"/>
  <c r="AG2" i="1"/>
  <c r="AH2" i="1"/>
  <c r="AI2" i="1"/>
  <c r="AP2" i="1"/>
  <c r="AQ2" i="1"/>
  <c r="AR2" i="1"/>
  <c r="AS2" i="1"/>
  <c r="AU2" i="1"/>
  <c r="AV2" i="1"/>
  <c r="AX2" i="1"/>
  <c r="BK2" i="1"/>
  <c r="BL2" i="1"/>
  <c r="BM2" i="1"/>
  <c r="BP2" i="1"/>
  <c r="BR2" i="1"/>
  <c r="I3" i="1"/>
  <c r="J3" i="1"/>
  <c r="K3" i="1"/>
  <c r="L3" i="1"/>
  <c r="M3" i="1"/>
  <c r="N3" i="1"/>
  <c r="O3" i="1"/>
  <c r="P3" i="1"/>
  <c r="Q3" i="1"/>
  <c r="R3" i="1"/>
  <c r="S3" i="1"/>
  <c r="T3" i="1"/>
  <c r="U3" i="1"/>
  <c r="V3" i="1"/>
  <c r="W3" i="1"/>
  <c r="X3" i="1"/>
  <c r="Y3" i="1"/>
  <c r="Z3" i="1"/>
  <c r="AA3" i="1"/>
  <c r="AB3" i="1"/>
  <c r="AC3" i="1"/>
  <c r="AD3" i="1"/>
  <c r="AE3" i="1"/>
  <c r="AF3" i="1"/>
  <c r="AG3" i="1"/>
  <c r="AH3" i="1"/>
  <c r="AI3" i="1"/>
  <c r="AP3" i="1"/>
  <c r="AQ3" i="1"/>
  <c r="AR3" i="1"/>
  <c r="AS3" i="1"/>
  <c r="AU3" i="1"/>
  <c r="AV3" i="1"/>
  <c r="AX3" i="1"/>
  <c r="BK3" i="1"/>
  <c r="BL3" i="1"/>
  <c r="BM3" i="1"/>
  <c r="BP3" i="1"/>
  <c r="BR3" i="1"/>
</calcChain>
</file>

<file path=xl/sharedStrings.xml><?xml version="1.0" encoding="utf-8"?>
<sst xmlns="http://schemas.openxmlformats.org/spreadsheetml/2006/main" count="11909" uniqueCount="1731">
  <si>
    <t>CASE_NUMBER</t>
  </si>
  <si>
    <t>CASE_STATUS</t>
  </si>
  <si>
    <t>RECEIVED_DATE</t>
  </si>
  <si>
    <t>DETERMINATION_DATE</t>
  </si>
  <si>
    <t>REDETERMINATION_DATE</t>
  </si>
  <si>
    <t>CENTER_DIRECTOR_REVIEW_DATE</t>
  </si>
  <si>
    <t>WITHDRAWAL_DATE</t>
  </si>
  <si>
    <t>VISA_CLASS</t>
  </si>
  <si>
    <t>REQUESTOR_POC_LAST_NAME</t>
  </si>
  <si>
    <t>REQUESTOR_POC_FIRST_NAME</t>
  </si>
  <si>
    <t>REQUESTOR_POC_MIDDLE_NAME</t>
  </si>
  <si>
    <t>REQUESTOR_POC_JOB_TITLE</t>
  </si>
  <si>
    <t>REQUESTOR_POC_ADDRESS1</t>
  </si>
  <si>
    <t>REQUESTOR_POC_ADDRESS2</t>
  </si>
  <si>
    <t>REQUESTOR_POC_CITY</t>
  </si>
  <si>
    <t>REQUESTOR_POC_STATE</t>
  </si>
  <si>
    <t>REQUESTOR_POC_POSTAL_CODE</t>
  </si>
  <si>
    <t>REQUESTOR_POC_COUNTRY</t>
  </si>
  <si>
    <t>REQUESTOR_POC_PROVINCE</t>
  </si>
  <si>
    <t>REQUESTOR_POC_PHONE</t>
  </si>
  <si>
    <t>REQUESTOR_POC_PHONE_EXT</t>
  </si>
  <si>
    <t>REQUESTOR_POC_FAX_NUMBER</t>
  </si>
  <si>
    <t>REQUESTOR_POC_EMAIL</t>
  </si>
  <si>
    <t>EMPLOYER_LEGAL_BUSINESS_NAME</t>
  </si>
  <si>
    <t>TRADE_NAME_DBA</t>
  </si>
  <si>
    <t>EMPLOYER_ADDRESS_1</t>
  </si>
  <si>
    <t>EMPLOYER_ADDRESS_2</t>
  </si>
  <si>
    <t>EMPLOYER_CITY</t>
  </si>
  <si>
    <t>EMPLOYER_STATE</t>
  </si>
  <si>
    <t>EMPLOYER_POSTAL_CODE</t>
  </si>
  <si>
    <t>EMPLOYER_COUNTRY</t>
  </si>
  <si>
    <t>EMPLOYER_PROVINCE</t>
  </si>
  <si>
    <t>EMPLOYER_PHONE</t>
  </si>
  <si>
    <t>EMPLOYER_EXTENSION</t>
  </si>
  <si>
    <t>NAICS_CODE</t>
  </si>
  <si>
    <t>COVERED_BY_ACWIA</t>
  </si>
  <si>
    <t>CBA</t>
  </si>
  <si>
    <t>DBA_SCA</t>
  </si>
  <si>
    <t>SURVEY</t>
  </si>
  <si>
    <t>SURVEY_NAME</t>
  </si>
  <si>
    <t>SURVEY_PUBLICATION_DATE</t>
  </si>
  <si>
    <t>JOB_TITLE</t>
  </si>
  <si>
    <t>SUGGESTED_SOC_CODE</t>
  </si>
  <si>
    <t>SUGGESTED_SOC_TITLE</t>
  </si>
  <si>
    <t>SUPERVISOR_JOB_TITLE</t>
  </si>
  <si>
    <t>SUPERVISE_OTHER_EMP</t>
  </si>
  <si>
    <t>SUPERVISE_HOW_MANY</t>
  </si>
  <si>
    <t>SUPERVISION_LEVEL</t>
  </si>
  <si>
    <t>TRAVEL_REQUIRED</t>
  </si>
  <si>
    <t>TRAVEL_DETAILS</t>
  </si>
  <si>
    <t>PRIMARY_EDUCATION_LEVEL</t>
  </si>
  <si>
    <t>OTHER_EDUCATION</t>
  </si>
  <si>
    <t>MAJOR</t>
  </si>
  <si>
    <t>SECOND_DIPLOMA</t>
  </si>
  <si>
    <t>SECOND_DIPLOMA_MAJOR</t>
  </si>
  <si>
    <t>TRAINING_REQUIRED</t>
  </si>
  <si>
    <t>NUMBER_OF_MONTHS_TRAINING</t>
  </si>
  <si>
    <t>NAME_REQUIRED_TRAINING</t>
  </si>
  <si>
    <t>EMP_EXPERIENCE_REQUIRED</t>
  </si>
  <si>
    <t>EMP_EXPERIENCE_MONTHS</t>
  </si>
  <si>
    <t>OCCUPATION_REQUIRED</t>
  </si>
  <si>
    <t>SPECIAL_REQUIREMENTS</t>
  </si>
  <si>
    <t>PRIMARY_WORKSITE_ADDRESS_1</t>
  </si>
  <si>
    <t>PRIMARY_WORKSITE_ADDRESS_2</t>
  </si>
  <si>
    <t>PRIMARY_WORKSITE_CITY</t>
  </si>
  <si>
    <t>PRIMARY_WORKSITE_COUNTY</t>
  </si>
  <si>
    <t>PRIMARY_WORKSITE_STATE</t>
  </si>
  <si>
    <t>PRIMARY_WORKSITE_POSTAL_CODE</t>
  </si>
  <si>
    <t>OTHER_WORKSITE_LOCATION</t>
  </si>
  <si>
    <t>PWD_SOC_CODE</t>
  </si>
  <si>
    <t>PWD_SOC_TITLE</t>
  </si>
  <si>
    <t>PWD_WAGE_RATE</t>
  </si>
  <si>
    <t>PWD_OES_WAGE_LEVEL</t>
  </si>
  <si>
    <t>PWD_UNIT_OF_PAY</t>
  </si>
  <si>
    <t>PWD_WAGE_SOURCE</t>
  </si>
  <si>
    <t>PWD_SURVEY_NAME</t>
  </si>
  <si>
    <t>WAGE_DET_NOTES</t>
  </si>
  <si>
    <t>PWD_WAGE_EXPIRATION_DATE</t>
  </si>
  <si>
    <t>CW-1</t>
  </si>
  <si>
    <t>N</t>
  </si>
  <si>
    <t>N/A</t>
  </si>
  <si>
    <t>None</t>
  </si>
  <si>
    <t>Y</t>
  </si>
  <si>
    <t>MP</t>
  </si>
  <si>
    <t>High School/GED</t>
  </si>
  <si>
    <t>12 MONTHS OF WORK RELATED EXPERIENCE</t>
  </si>
  <si>
    <t>HEAVY EQUIPMENT OPERATOR</t>
  </si>
  <si>
    <t>BEAUTICIAN</t>
  </si>
  <si>
    <t>GENERAL MAINTENANCE</t>
  </si>
  <si>
    <t>OPERATIONAL SERVICE WORKER</t>
  </si>
  <si>
    <t>Hour</t>
  </si>
  <si>
    <t>Construction Laborers</t>
  </si>
  <si>
    <t>CW-1 CNMI Approved Survey</t>
  </si>
  <si>
    <t>P-500-22220-401389</t>
  </si>
  <si>
    <t>Determination Issued</t>
  </si>
  <si>
    <t>Bachelor's</t>
  </si>
  <si>
    <t>Bachelor of Science in Education</t>
  </si>
  <si>
    <t>Secondary Teacher</t>
  </si>
  <si>
    <t>Must have 24 months experience in teaching Christian school.
Must be B.S.E. graduate.
Familiar in A Beka curriculum.</t>
  </si>
  <si>
    <t>Secondary School Teachers, Except Special and Career/Technical Education</t>
  </si>
  <si>
    <t>P-500-22226-415267</t>
  </si>
  <si>
    <t>="DEPENDING ON THE DISTANCE OF THE WORKERS PREFERRED HOUSES TO OUR WORK PLACE, BUT SAIPAN IS JUST A SMALL ISLAND. SOME WORKERS LIVE A WALK
AWAY, BUT AVERAGE TIME OF TRAVEL IS JUST A 3 TO 6 MINS DRIVE AWAY AND AS A CATERING BUSINESS, WE REGULARLY TRAVEL FROM OUR WORK AREA TO OUR
CUSTOMER OR CLIENT AREA WITHIN SAIPAN IN JUST 5 MINUTES."</t>
  </si>
  <si>
    <t>FOOD HANDLER AND CUSTOMER SERVICE</t>
  </si>
  <si>
    <t>COOK, WAITER, WAITRESS, KITCHEN HELPER, STEWARD, FOOD SERVER</t>
  </si>
  <si>
    <t>COOKING, BAKING, FOOD PREPARATION, DISHWASHING, FOOD AND DRINK SERVER, CUSTOMER SERVICE</t>
  </si>
  <si>
    <t>Fast Food and Counter Workers</t>
  </si>
  <si>
    <t>P-500-22227-415416</t>
  </si>
  <si>
    <t>Maid and Housekeeping Cleaners</t>
  </si>
  <si>
    <t>MUST BE HIGH SCHOOL GRADUATE AND 3 MONTHS OF EXEPRIENCE. MUST BE ABLE TO DRIVE TO RUN ERRANDS, TO PURCHASE SUPPLIES AND DRIVE TO THE
ASSIGNED WORK LOCATION. MUST BE ABLE TO MOVE, LIFT, PUSH FURNITURE TO CLEAN THE SPACE UNDERNEATH. CAN FOLLOW INSTRUCTIONS. CAN WORK ON
WEEKENDS AND HOLIDAYS, DAYTIME OR EVENING.</t>
  </si>
  <si>
    <t>Maids and Housekeeping Cleaners</t>
  </si>
  <si>
    <t>P-500-22227-415615</t>
  </si>
  <si>
    <t>Cement Mason</t>
  </si>
  <si>
    <t>Physical strength and stamina, as the job of a cement mason require him/her to move effectively, make certain postures such as kneeling, bending, and reaching, and also handle equipment effectively</t>
  </si>
  <si>
    <t>Cement Masons and Concrete Finishers</t>
  </si>
  <si>
    <t>P-500-22231-425993</t>
  </si>
  <si>
    <t>NONE</t>
  </si>
  <si>
    <t>PRIOR WORK EXPERIENCE</t>
  </si>
  <si>
    <t>Cooks, Restaurant</t>
  </si>
  <si>
    <t>P-500-22231-426021</t>
  </si>
  <si>
    <t>n/a</t>
  </si>
  <si>
    <t>LAWNCARE MAINTENANCE WORKER</t>
  </si>
  <si>
    <t>Must know how to handle chemicals and have a solid understanding of the safe use of pesticides. Must be able to lift upwards of 50 pounds and bend, lift, and stand for extended periods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</si>
  <si>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Landscaping and Groundskeeping Workers</t>
  </si>
  <si>
    <t>P-500-22231-427481</t>
  </si>
  <si>
    <t>Associate's</t>
  </si>
  <si>
    <t>Associate's degree, RN in-process</t>
  </si>
  <si>
    <t>licensed practical nurse</t>
  </si>
  <si>
    <t>state license or compact LPN unrestricted license</t>
  </si>
  <si>
    <t>Licensed Practical and Licensed Vocational Nurses</t>
  </si>
  <si>
    <t>P-500-22232-428289</t>
  </si>
  <si>
    <t>Accounting</t>
  </si>
  <si>
    <t>Accountant</t>
  </si>
  <si>
    <t>1.	Must have intermediate skills with Microsoft Office Suite
2.	Must have a knowledge in accounting principles and practices
3.	Must be dependable and trustworthy with handling confidential documents (i.e., employee information, customer information, etc.) 
4.	Must have experience with working on accounting software, such as QuickBooks or similar</t>
  </si>
  <si>
    <t>Accountants and Auditors</t>
  </si>
  <si>
    <t>P-500-22232-428291</t>
  </si>
  <si>
    <t>Service Station Attendant</t>
  </si>
  <si>
    <t xml:space="preserve">Service Station Attendant </t>
  </si>
  <si>
    <t xml:space="preserve">1.	Must have no skin allergies caused by exposure to petrol or oil
2.	Must have the ability to calculate figures, handle money transactions, and have legible handwriting
3.	Some knowledge in motor vehicles and a mechanical aptitude are desirable
</t>
  </si>
  <si>
    <t>Automotive and Watercraft Service Attendants</t>
  </si>
  <si>
    <t>P-500-22232-428322</t>
  </si>
  <si>
    <t>ACCOUNTING ASSISTANT</t>
  </si>
  <si>
    <t>Must have at least 1 year experience. Able to use Excel and MS Word.</t>
  </si>
  <si>
    <t>Bookkeeping, Accounting, and Auditing Clerks</t>
  </si>
  <si>
    <t>P-500-22234-428604</t>
  </si>
  <si>
    <t>Maintenance &amp; Repair Related Job Experiences</t>
  </si>
  <si>
    <t>PERFORMING ROUTINE MAINTENANCE ON EQUIPMENT AND DETERMINING WHEN AND WHAT KIND OF MAINTENANCE IS NEEDED. DETERMINING THE KIND OF TOOLS
AND EQUIPMENT NEEDED TO DO A JOB.</t>
  </si>
  <si>
    <t>Maintenance and Repair Workers, General</t>
  </si>
  <si>
    <t>P-500-22234-428605</t>
  </si>
  <si>
    <t>Maintenance and Repair Related Job Experience</t>
  </si>
  <si>
    <t>P-500-22234-428606</t>
  </si>
  <si>
    <t>Child Care Worker</t>
  </si>
  <si>
    <t xml:space="preserve">PROVEN 12 MONTH WORK EXPERIENCE. THE INDIVIDUAL SHOULD HAVE PRACTICAL KNOWLEDGE OF HOW TO TAKE CARE OF PRESCHOOL AGE CHILDREN.
KNOWLEDGEABLE OF RELEVANT POLICIES, PROCEDURES, AND SAFETY OF THE CHILDREN
</t>
  </si>
  <si>
    <t>Nannies</t>
  </si>
  <si>
    <t>P-500-22234-428667</t>
  </si>
  <si>
    <t>MAINTENANCE AND REPAIR</t>
  </si>
  <si>
    <t>U.S. AND FOREIGN WORKERS MUST PERFORM WORK INVOLVING THE SKILLS OF TWO OR MORE MAINTENANCE OR CRAFT OCCUPATIONS TO KEEP MACHINES, MECHANICAL EQUIPMENT, OR THE STRUCTURE OF A RELATED SUPPORT FACILITY IN REPAIR.  DUTIES MAY INVOLVE PIPE FITTING, BOILER MAKING, INSULATING, WIELDING, MACHINING, CARPENTRY, REPAIRING ELECTRICAL OR MECHANICAL EQUIPMENT, INSTALLING ALIGNING, AND BALANCING NEW EQUIPMENT, AND REPAIRING BUILDINGS, FLOORS OR STAIRS.</t>
  </si>
  <si>
    <t>P-500-22234-428669</t>
  </si>
  <si>
    <t>Marine Engine Mechanic</t>
  </si>
  <si>
    <t>Preferable to have maintenance and repair experiences with various marine engines and Hydraulic Winch Systems in Saipan or within the CNMI.</t>
  </si>
  <si>
    <t>Motorboat Mechanics and Service Technicians</t>
  </si>
  <si>
    <t>P-500-22234-428686</t>
  </si>
  <si>
    <t>none</t>
  </si>
  <si>
    <t>Food Preparation Workers</t>
  </si>
  <si>
    <t>knowledge of food processing, sanitation and safety.
operating kitchen equipment
strong knife skills.
speed and accuracy</t>
  </si>
  <si>
    <t>P-500-22234-431150</t>
  </si>
  <si>
    <t>Accountant, Accounting Associates, Accounting Specialist</t>
  </si>
  <si>
    <t>Holder of an Associate degree in Accounting with a minimum of 1-year work experience in Accounting position. Knowledgeable in the accounting function of a company. Proficient in using Peachtree, QuickBooks, and Microsoft office software. Willing to work flexible hours including holidays and weekends. Can work independently and under less supervision. Must be able to meet work deadlines. All applicants must be able to secure the CNMI drivers license. Employment Certificate in Accounting position from the previous employer is required for all applicants. All applicants must attached resume, copy of diploma, education certificate, employment certification, and other related documents. Background checks and drug testing may be required during or prior to employment to all applicants.</t>
  </si>
  <si>
    <t>P-500-22235-431293</t>
  </si>
  <si>
    <t>Heavy Equipment Mechanic</t>
  </si>
  <si>
    <t>At least 6 months experience as HE/construction equipment mechanic and should be able to diagnose basic and major mechanical issues. Must be familiar with HE/construction equipment parts.</t>
  </si>
  <si>
    <t>Mobile Heavy Equipment Mechanics, Except Engines</t>
  </si>
  <si>
    <t>P-500-22235-431433</t>
  </si>
  <si>
    <t>PLUMBERS, PIPEFITTERS AND STEAMFITTERS</t>
  </si>
  <si>
    <t>Must have general knowledge of carpentry, electrical, plumbing, masonry, and building &amp; maintenance skills. Ability to understand and follow safety procedures. Must be able to read blueprints and engineering plumbing, structural and electrical layouts. Must be able to maintain a cooperative attitude under stressful circumstances. Can work without any supervision. Previous work-related skill, knowledge, or experience is needed for these occupations.</t>
  </si>
  <si>
    <t>P-500-22235-431456</t>
  </si>
  <si>
    <t xml:space="preserve">SOLAR THERMAL INSTALLERS AND TECHNICIANS </t>
  </si>
  <si>
    <t>Knowledge of machines and tools, including their designs, uses repair, and maintenance. Knowledge of principles and processes for providing customer and personal services. This includes customer needs assessment, meeting quality standards for services, and evaluation of customer satisfaction. Knowledge of materials, methods, and tools involved in the construction or repair of houses, buildings, or other structures such as highways and roads. Knowledge of design techniques, tools, and principles involved in the production of precision technical plans, blueprints, drawings, and models. Knowledge and prediction of physical principles, laws, their interrelationships, and applications to understanding fluid, material, and atmospheric dynamics, and mechanical, electrical, atomic, and sub-atomic structures and processes. Knowledge of the structure and content of the English language including the meaning and spelling of words, rules of composition, and grammar. Knowledge of circuit boards, processors, chips, electronic equipment, and computer hardware and software, including applications and programming. Knowledge of principles and methods for showing, promoting, and selling products or services. This includes marketing strategy and tactics, product demonstration, sales techniques, and sales control systems.</t>
  </si>
  <si>
    <t>Heating, Air Conditioning, and Refrigeration Mechanics and Installers</t>
  </si>
  <si>
    <t>P-500-22235-431468</t>
  </si>
  <si>
    <t>ELECTRICAL POWER-LINE INSTALLERS AND REPAIRERS</t>
  </si>
  <si>
    <t xml:space="preserve">Need 1 or 2 years of work experience Education These occupations usually require a high school diploma and may require some vocational training or job-related course work. In some cases, an associate's or bachelor's degree could be needed. Knowledge of materials, methods, and tools involved in the construction or repair of houses, buildings, or other structures such as highways and roads. Knowledge of machines and tools, including their designs, uses repair, and maintenance. Knowledge of design techniques, tools, and principles involved in the production of precision technical plans, blueprints, drawings, and models.  </t>
  </si>
  <si>
    <t>Electricians</t>
  </si>
  <si>
    <t>P-500-22236-434110</t>
  </si>
  <si>
    <t>12 months of work experience as cosmetologist</t>
  </si>
  <si>
    <t>Hairdressers, Hairstylists, and Cosmetologists</t>
  </si>
  <si>
    <t>P-500-22236-434186</t>
  </si>
  <si>
    <t>Sales &amp; Marketing</t>
  </si>
  <si>
    <t>12 months of experience in sales and marketing is required for this position, preferably in Real Estate/Property Industry. Associate's degree. Can operate computers, 10-key calculators, typewriter, and copy machines to perform calculations and produce documents &amp; reports for submission directly to Japan corporate office. Knowledgeable in MS Word and Excel. Can speak, read and write in Japanese language fluently, preferably in Kanji, to assist Japanese clients and prepare reports for Japan office. Driving skills is a plus.</t>
  </si>
  <si>
    <t>Real Estate Sales Agents</t>
  </si>
  <si>
    <t>P-500-22236-434193</t>
  </si>
  <si>
    <t>Maintenance &amp; Repair Worker</t>
  </si>
  <si>
    <t>24 MONTHS OF EXPERIENCE IS REQUIRED IN THIS POSITION. DEMONSTRATE SKILLS WITH ELECTRICAL WORK, PLUMBING, CONCRETE, CARPENTRY, MACHINE MAINTENANCE AND REPAIR. PROFICIENT TROUBLESHOOTING AND DIAGNOSTIC SKILLS. TECHNICAL KNOWLEDGE OF ELECTRICAL REPAIR, PLUMBING, ALONG WITH KNOWLEDGE OF CARPENTRY AND GENERAL MAINTENANCE. KNOWS AND FOLLOWS SAFETY PROCEDURES AND MAINTAINS A SAFE WORK ENVIRONMENT. TRAINED IN HANDS-ON EQUIPMENT MAINTENANCE. STRONG WORK ETHICS. USES TIME PRODUCTIVELY TO ACCOMPLISH WORK GOALS. HAS A SOLID UNDERSTANDING OF THE JOB AND ITS DUTIES AND RESPONSIBILITIES. UNDERSTANDS TECHNOLOGY AND CAN GRASP CHALLENGING TECHNICAL ISSUES. PAYS ATTENTION TO DETAIL. APPROACHES WORK IN A METICULOUS AND THOROUGH MANNER. MUST BE FLEXIBLE WITH DUTIES AND WORK SCHEDULE. ABILITY TO PASS THE COMPANY'S PRE HIRE BACKGROUND CHECK REQUIRED WHICH WILL BE APPLIED EQUALLY TO BOTH U.S. WORKERS AND CW-1 WORKERS. REQUIRES THE ABILITY TO STAND FOR LONG PERIODS OF TIME. REQUIRES THE ABILITY TO BEND, AND TWIST TO PERFORM NORMAL JOB FUNCTIONS. REQUIRES THE ABILITY TO LIFT AND MANEUVER ITEMS WEIGHING 80 LBS. REQUIRES THE ABILITY TO PERFORM TASKS WHILE ON A LADDER. REQUIRES THE ABILITY TO OPERATE EQUIPMENT THAT REQUIRES CONTINUAL AND REPETITIVE HAND AND ARM MOTIONS.</t>
  </si>
  <si>
    <t>P-500-22236-434197</t>
  </si>
  <si>
    <t>Maids and Housekeeping Cleaner</t>
  </si>
  <si>
    <t>MUST HAVE AT LEAST 3 MONTHS WORK EXPERIENCE IN THE SAME OR SIMILAR FIELD. KNOWLEDGE OF CLEANING AND SANITATION PRODUCTS AND SUPPLIES, TECHNIQUES AND METHODS. MUST HAVE EXPERIENCE IN PREPARING CLEANING SOLUTIONS SUCH AS MIXING WATER AND DETERGENTS OR ACIDS IN CONTAINERS ACCORDING TO SPECIFICATIONS. KNOWLEDGE OF CLEANING SENSITIVE MATERIALS. KNOWLEDGE OF OPERATING CLEANING EQUIPMENT E.G. VACUUM CLEANER, SWEEPER, BROOM, ETC. KNOWLEDGE ON SAFETY AND PRECAUTION IS A PLUS. PHYSICAL STAMINA AND MOBILITY INCLUDING ABILITY TO REACH, KNEEL AND BEND, SQUAT, LIFT, PUSH AND PULL REQUIRED LOAD (USUALLY ABOUT 25 LBS.). MUST BE ABLE TO WORK ON FLEXIBLE HOURS INCLUDING WEEKENDS, HOLIDAYS, AND NIGHT SHIFTS. IF NEEDED, MUST AGREE TO A POST-OFFER PRE-EMPLOYMENT DRUG SCREENING TEST WHICH APPLY EQUALLY TO US AND CW-1 WORKERS.</t>
  </si>
  <si>
    <t>P-500-22236-434286</t>
  </si>
  <si>
    <t>Maintenance Worker, Electrician, Air Con TEchnician</t>
  </si>
  <si>
    <t>Knowledge of machines and tools, including their designs, uses, repair, and maintenance.  Knowledge of materials, methods, and the tools involved in the construction or repair of houses, buildings, or other structures such as highways and roads. Must be able to work with powered tools, understand and implement building, fire, and OSHA safety requirements.  Must be able to work extended hours or workdays.</t>
  </si>
  <si>
    <t>P-500-22237-436612</t>
  </si>
  <si>
    <t>REPAIR AND MAINTENANCE</t>
  </si>
  <si>
    <t xml:space="preserve"> 1 YEAR  EXPERIENCE SKILLED IN ALL ASPECT OF BUILDING MAINTENANCE
BASIC ELECTRICAL AND MECHANICAL BACKGROUND IS A PLUS  
</t>
  </si>
  <si>
    <t>P-500-22237-436625</t>
  </si>
  <si>
    <t xml:space="preserve">1 YEAR  EXPERIENCE SKILLED IN ALL ASPECT OF BUILDING MAINTENANCE
BASIC ELECTRICAL AND MECHANICAL BACKGROUND IS A PLUS  
</t>
  </si>
  <si>
    <t>P-500-22237-436629</t>
  </si>
  <si>
    <t>ACCOUNTING</t>
  </si>
  <si>
    <t>GENERAL BOOKKEEPING</t>
  </si>
  <si>
    <t>NA</t>
  </si>
  <si>
    <t>P-500-22237-436632</t>
  </si>
  <si>
    <t>REPAIR AND MAINTENANCE WORKS</t>
  </si>
  <si>
    <t xml:space="preserve">1 YEAR  EXPERIENCE SKILLED IN ALL ASPECT OF BUILDING MAINTENANCE
BASIC ELECTRICAL AND MECHANICAL BACKGROUND IS A PLUS  
</t>
  </si>
  <si>
    <t>P-500-22237-436637</t>
  </si>
  <si>
    <t>Bachelor's Degree in Radiology</t>
  </si>
  <si>
    <t>Radiologic Technician</t>
  </si>
  <si>
    <t>Must be a licensed under the Health Care Professions Licensing Board as a Radiologic Technician in the CNMI. Must have the ability to work proficiently in a fast paced clinical environment.</t>
  </si>
  <si>
    <t>Radiologic Technologists and Technicians</t>
  </si>
  <si>
    <t>P-500-22237-436649</t>
  </si>
  <si>
    <t>Installation, Maintenance, and Repair Workers, All Other</t>
  </si>
  <si>
    <t>P-500-22237-436709</t>
  </si>
  <si>
    <t>Bookkeeper</t>
  </si>
  <si>
    <t xml:space="preserve">Knowledge of general accounting principles. Analytical, communication and computer skills. Understanding of mathematics and accounting and financial processes. Knowledge of bookkeeping software. At least 24 months bookkeeping experience, preferably within a business-services environment. Applicants must pass skill test during the application process (Total Passing Score is 89%) The skill testing and comprehension exam are required equally of both US and Foreign workers. Communication skills, both verbal and written Attention to detail and accuracy of work.
</t>
  </si>
  <si>
    <t>P-500-22237-436917</t>
  </si>
  <si>
    <t>Building Maintenance Worker</t>
  </si>
  <si>
    <t>MUST HAVE 1 YEAR OF EXPERIENCE IN THE SAME POSITION MAINTAINING AN EXISTING BUILDING TO PREVENT DETERIORATION. CUSTOMER SERVICE,
COMMUNICATION AND INTERPERSONAL SKILLS ARE A MUST. MUST BE WILLING TO WORK FLEXIBLE TIME, HOLIDAYS AND WEEKENDS WHEN NECESSARY. GOOD
KNOWLEDGE OF BUILDING SKILLS INCLUDING AIR-CONDITIONING, ELECTRICAL, PLUMBING, PAINTING, AND GENERAL BUILDING REPAIR, ADEPT AT USING A VARIETY OF
HAND AND ELECTRICAL TOOLS. MUST HAVE THE ABILITY TO CLIMB HEIGHTS, LIFT UP TO 50 LBS. AND CLIMB ONTO LADDER</t>
  </si>
  <si>
    <t>P-500-22237-436929</t>
  </si>
  <si>
    <t>="Double "E" Maintenance Repair / JNJ Builder"</t>
  </si>
  <si>
    <t>Aircon technician</t>
  </si>
  <si>
    <t xml:space="preserve">With certifications as Electrician or Aircon Technician.  </t>
  </si>
  <si>
    <t>P-500-22238-439162</t>
  </si>
  <si>
    <t>HVAC TECHNICIAN</t>
  </si>
  <si>
    <t>High School Diploma, GED or suitable equivalent, at least one year experience as an HVAC Technician, and willingness to continue education in HVAC Field. Understanding of advance principles of air conditioning, refrigerator and heating, working knowledge of boiler systems.  Proficient in balancing air and water treatment systems in line of HVAC Protocols. Proficient in reading schematics and work plans. Ability to work after hours, over weekends and on public holidays with short or no notice.  Ability to work in confined spaces ensuring compliance with appliance standards and with the occupational health and safety act.</t>
  </si>
  <si>
    <t>P-500-22238-439191</t>
  </si>
  <si>
    <t>MAINTENANCE AND REPAIR WORKER, GENERAL</t>
  </si>
  <si>
    <t>Should have the ability to test, diagnose machine or equipment malfunctions and identify defective parts to be replaced.  Well-verse in performing routine maintenance such as inspecting drives, motors, belts, checking fluid levels, replacing filters, regular change oil, break pad and battery check up.  Knowledgeable in welding, machining and carpentry.  Should be able to work with minimum supervision.  Should be able to prepare purchase requisition for parts and other supplies needed subject to the approval of the General and Operations Manager.   Should have the ability to communicate with local vendors regarding parts and service requirements as the need arises.</t>
  </si>
  <si>
    <t>P-500-22238-439243</t>
  </si>
  <si>
    <t>Cook, Chinese Food</t>
  </si>
  <si>
    <t>MUST HAVE A MINIMUM OF 12 MONTHS EXPERIENCE PREPARING, SEASONING AND COOKING CHINESE BUFFET FOOD ONBOARD DINNER CRUISE BOATS. 
APPLICANTS ARE REQUIRED TO PARTICIPATE IN OUR COMPANY'S MANDATORY RANDOM DRUG TESTING PROGRAM, FOR ALL WORKERS, CW-1 WORKERS AND US WORKERS.</t>
  </si>
  <si>
    <t>P-500-22238-439255</t>
  </si>
  <si>
    <t>Marine Diesel Technician</t>
  </si>
  <si>
    <t xml:space="preserve">SPECIALIZED TRAINING IN THE REPAIR, REBUILDING, SERVICING AND MAINTENANCE OF MARINE DIESEL ENGINES, TRANSMISSIONS, GENERATORS, PUMPS AND OTHER
MARINE EQUIPMENT.
24 MONTHS OR MORE EXPERIENCE WORKING ON CATERPILLAR 3208 MARINE DIESEL ENGINES, CUMMINS, JOHN DEERE MARINE DIESEL GENERATORS AND MTU 12 CYLINDER DIESEL ENGINES.
</t>
  </si>
  <si>
    <t>Bus and Truck Mechanics and Diesel Engine Specialists</t>
  </si>
  <si>
    <t>P-500-22238-440289</t>
  </si>
  <si>
    <t>P-500-22239-441763</t>
  </si>
  <si>
    <t>1 YEAR OF WORK EXPERIENCED</t>
  </si>
  <si>
    <t>1 year work related experienced.  Ability to cope under pressure. Ability to comply with operational policies and procedures, codes, and regulations. Knowledge in Microsoft Office and relevant databases and software. Employment certification as manager required.</t>
  </si>
  <si>
    <t>General and Operations Managers</t>
  </si>
  <si>
    <t>P-500-22239-441785</t>
  </si>
  <si>
    <t>High School</t>
  </si>
  <si>
    <t>teaching role, teaching assistant</t>
  </si>
  <si>
    <t>24 months experience in a teaching role, High school graduate</t>
  </si>
  <si>
    <t>Elementary School Teachers, Except Special Education</t>
  </si>
  <si>
    <t>P-500-22239-441788</t>
  </si>
  <si>
    <t>Maintenance Worker</t>
  </si>
  <si>
    <t>Must at least have High School Diploma/GED or its equivalent with 12 months work related experience, skills and knowledge.  Must be able to lift and carry 45 lbs. and can work on a flexible hours or early morning shift.  Will consider foreign equivalent of High School Diploma or GED.</t>
  </si>
  <si>
    <t>P-500-22239-441791</t>
  </si>
  <si>
    <t>ACCOUNTANCY</t>
  </si>
  <si>
    <t>ACCOUNTANT</t>
  </si>
  <si>
    <t>Must have a Bachelor's Degree in Accounting with minimum 24 months working experience in accounting/finance work and 3 months training. Strong computer skills in Microsoft applications (Word and Excel) and knowledge in accounting software. Highly detail oriented and organized in work. Ability to meet assigned deadlines. Applicants either US citizen or CW-1 worker must provide school credentials, training/employment certificate.</t>
  </si>
  <si>
    <t>P-500-22239-441793</t>
  </si>
  <si>
    <t>ACCOUNTING, TAXATION &amp; COMPUTER</t>
  </si>
  <si>
    <t>P-500-22240-441979</t>
  </si>
  <si>
    <t>EXPERIENCED IN CUTTING WOMENS AND MENS HAIR AND SKILLS IN CREATING STYLES AND HAIR COLORING.</t>
  </si>
  <si>
    <t>P-500-22241-441982</t>
  </si>
  <si>
    <t>SILK SCREEN PRINTER</t>
  </si>
  <si>
    <t>EXPERIENCED IN OPERATING MANUAL AND AUTOMATIC ROTARY SILK SCREEN PRINTING PRESS EQUIPMENT.</t>
  </si>
  <si>
    <t>Printing Press Operators</t>
  </si>
  <si>
    <t>CW-1 Guam OES Adjusted</t>
  </si>
  <si>
    <t>P-500-22241-441989</t>
  </si>
  <si>
    <t>AUTO MECHANIC</t>
  </si>
  <si>
    <t>CERTIFICATE OF AUTO MECHANIC</t>
  </si>
  <si>
    <t>Automotive Service Technicians and Mechanics</t>
  </si>
  <si>
    <t>P-500-22241-442098</t>
  </si>
  <si>
    <t>General Maintenance</t>
  </si>
  <si>
    <t>Under General Supervision, performs a variety of General Maintenance duties which include electrical, mechanical, carpentry, and construction in the maintenance and repair of apartment building facilities and equipment.</t>
  </si>
  <si>
    <t>P-500-22241-444254</t>
  </si>
  <si>
    <t>Holder of an Associates degree in Accounting with a minimum of 2-years work experience in Accounting position. Knowledgeable in the accounting function of a company. Proficient in using Peachtree, QuickBooks, and Microsoft office software. Employment Certificate from the previous employer is required for all applicants. Willing to work flexible hours including holidays and weekends. Can work under less supervision and must be able to meet work deadlines. Must have own transportation to &amp; from work. All applicants must be able to secure the CNMI Food Handlers Permit and CNMI drivers license. All applicants must attached resume, copy of diploma, education certificates, employment certification, and other related documents. Background checks and drug testing may be required during or prior to employment to all applicants.</t>
  </si>
  <si>
    <t>P-500-22242-444329</t>
  </si>
  <si>
    <t>Holder of an Associate degree in Accounting with a minimum of 2-year work experience in Accounting position. Knowledgeable in the accounting function of a company. Proficient in using Peachtree, QuickBooks, and Microsoft office software. Willing to work flexible hours including holidays and weekends. Can work independently and under less supervision. Must be able to meet work deadlines. All applicants must be able to secure the CNMI drivers license. Employment Certificate in Accounting position from the previous employer is required for all applicants. All applicants must attached resume, copy of diploma, education certificate, employment certification, and other related documents. Background checks and drug testing may be required during or prior to employment to all applicants.</t>
  </si>
  <si>
    <t>P-500-22242-444408</t>
  </si>
  <si>
    <t>Supervisor</t>
  </si>
  <si>
    <t xml:space="preserve">12 months work related experience </t>
  </si>
  <si>
    <t>First-Line Supervisors of Retail Sales Workers</t>
  </si>
  <si>
    <t>P-500-22242-444424</t>
  </si>
  <si>
    <t>HIGH SCHOOL DIPLOMA/GED</t>
  </si>
  <si>
    <t>P-500-22242-444527</t>
  </si>
  <si>
    <t>HANDS -ON TRAINING AS A COOK</t>
  </si>
  <si>
    <t>COOK</t>
  </si>
  <si>
    <t>HIGH SCHOOL DIPLOMA /GED</t>
  </si>
  <si>
    <t>Cooks, Institution and Cafeteria</t>
  </si>
  <si>
    <t>P-500-22242-444531</t>
  </si>
  <si>
    <t>ANALYSE AUTOMOTIVE AND AUTO AIR-CON PROBLEMS.
KNOWLEDGE OF CAR'S MECHANICAL AND ELECTRONIC SYSTEMS.
COMPETENCE WITH A VARIETY OF ELECTRONIC TOOLS SUCH AS INFRARED ENGINE ANALYZERS AND COMPUTERS. OPERATES SHOP TOOLS AND MACHINES. MODIFY, DESIGN AND FABRICATE SPECIAL PURPOSE EQUIPMENT.
CERTIFICATIONS AND REQUIREMENTS:
HIGH SCHOOL DIPLOMA OPERATES SHOP TOOLS AND MACHINES.
COMMUNICATE FLUENTLY IN BOTH WRITTEN AND ORAL FORM. 12 MONTHS WORK EXPERIENCE.</t>
  </si>
  <si>
    <t>P-500-22242-444822</t>
  </si>
  <si>
    <t>HIGH SCHOOL GRADUATE, 12 MONTHS EXPERIENCE. ABLE TO WORK FLEXIBLE TIME.</t>
  </si>
  <si>
    <t>P-500-22243-447054</t>
  </si>
  <si>
    <t xml:space="preserve">	Technical knowledge in equipment maintenance, repairing, trouble shooting, equipment selection or determining the kind of tools and equipment needed to do job. </t>
  </si>
  <si>
    <t>P-500-22243-447099</t>
  </si>
  <si>
    <t xml:space="preserve">Refrigeration Technician/Mechanic </t>
  </si>
  <si>
    <t xml:space="preserve">1.	Must have a knowledge in analyzing, maintaining, repairing, and troubleshooting air conditioner and refrigeration units
2.	Must have a knowledge with installing equipment, machines, or wiring with air conditioner and refrigeration units 
3.	Must have a knowledge of machines and tools, including their designs, uses, repair, and maintenance </t>
  </si>
  <si>
    <t>P-500-22243-447195</t>
  </si>
  <si>
    <t>MANAGEMENT</t>
  </si>
  <si>
    <t>P-500-22243-447215</t>
  </si>
  <si>
    <t>INVENTORY OR RECEIVING CLERK</t>
  </si>
  <si>
    <t>Shipping, Receiving, and Inventory Clerks</t>
  </si>
  <si>
    <t>P-500-22243-447232</t>
  </si>
  <si>
    <t>MAINTENANCE AND REPAIR JOBS</t>
  </si>
  <si>
    <t>P-500-22243-449234</t>
  </si>
  <si>
    <t>ECONOMICS OR COMMERCE</t>
  </si>
  <si>
    <t>COMPANY ACCOUNTING</t>
  </si>
  <si>
    <t>U.S. AND FOREIGN WORKERS MUST HAVE A BACHELORS DEGREE IN ECONOMICS OR COMMERCE OR ITS FOREIGN EQUIVALENCE; TRANSLATIONS AND INTERPRETATION IN BIDIRECTIONAL JAPANESE AND ENGLISH (WRITING, READING, SPEAKING, AND HEARING)</t>
  </si>
  <si>
    <t>P-500-22244-449576</t>
  </si>
  <si>
    <t>Must know the work and the duties and responsibilities for a Maintenance and Repair Workers, General.</t>
  </si>
  <si>
    <t>P-500-22244-449949</t>
  </si>
  <si>
    <t>KNOWLEDGE OF USING CLEANING TOOLS &amp; MATERIALS.</t>
  </si>
  <si>
    <t>KNOWLEDGE OF USING HAND OR ELECTRICAL CLEANING TOOLS &amp; MATERIALS TO KEEP BUILDING CLEAN AND ORDERLY CONDITION.</t>
  </si>
  <si>
    <t>Janitors and Cleaners, Except Maids and Housekeeping Cleaners</t>
  </si>
  <si>
    <t>P-500-22246-454514</t>
  </si>
  <si>
    <t>KITCHEN HELPER</t>
  </si>
  <si>
    <t>MUST BE ABLE YO ATTEND AND EARLY MORNING SHIFT, FLEXIBLE WORK HOURS AND CAN LIFT AT LEAST 50 LBS. EXPERIENCE IN AN INDUSTRIAL KITCHEN IS A PLUS. WILL CONSIDER FOREIGN EQUIVALENT OF HIGH SCHOOL DIPLOMA OR GED.</t>
  </si>
  <si>
    <t>Dishwashers</t>
  </si>
  <si>
    <t>P-500-22248-454763</t>
  </si>
  <si>
    <t>Cook</t>
  </si>
  <si>
    <t xml:space="preserve">PREFERRABLY WITH EXPERIENCE IN COOKING LARGE QUANTITIES AND BIG BATCHES OF FOOD FOR SERVINGS.  MUST BE KNOWLEDGEABLE WITH REGARDS TO STANDARD FOOD SAFETY REQUIREMENT WHEN IT COMES TO HANDLING, PREPARATION, AND COOKING OF FOOD AND MENU.  MUST BE ABLE TO LIFT AT LEAST 45 LBS.  AND CAN WORK ON A FLEXIBLE OR AN EARLY MORNING SHIFT.  WILL CONSIDER FOREIGN EQUIVALENT HIGH SCHOOL DIPLOMA OR GED. </t>
  </si>
  <si>
    <t>P-500-22248-454764</t>
  </si>
  <si>
    <t xml:space="preserve">Maintenance Worker </t>
  </si>
  <si>
    <t xml:space="preserve">Will consider foreign equivalent high school diploma or ged. </t>
  </si>
  <si>
    <t>P-500-22248-454766</t>
  </si>
  <si>
    <t xml:space="preserve">COMMERCE/ACCOUNTING </t>
  </si>
  <si>
    <t xml:space="preserve">ACCOUNTANT </t>
  </si>
  <si>
    <t xml:space="preserve">Bachelor's Degree in Accounting from an Accredited College or University. 
Must have 4 years prior related experience. </t>
  </si>
  <si>
    <t>P-500-22248-454771</t>
  </si>
  <si>
    <t xml:space="preserve">BAKER </t>
  </si>
  <si>
    <t xml:space="preserve">Must be able to attend an early morning shift, flexible work hours, and can lift at least 50 lbs. 
Will consider foreign equivalent of high school diploma or GED.  </t>
  </si>
  <si>
    <t>Bakers</t>
  </si>
  <si>
    <t>P-500-22248-454781</t>
  </si>
  <si>
    <t xml:space="preserve">MAINTENANCE WORKER </t>
  </si>
  <si>
    <t xml:space="preserve">MUST BE ABLE TO LIFT 45 LBS. , CAN WORK ON FLEXIBLE HOURS. 
WILL CONSIDER FOREIGN EQUIVALENT HIGH SCHOOL DIPLOMA OR GED. </t>
  </si>
  <si>
    <t>P-500-22248-454783</t>
  </si>
  <si>
    <t>HUMAN RESOURCES ASSISTANT</t>
  </si>
  <si>
    <t xml:space="preserve">WILL CONSIDER FOREIGN EQUIVALENT HIGHSCHOOL DIPLOMA OR GED. </t>
  </si>
  <si>
    <t>Human Resources Assistants, Except Payroll and Timekeeping</t>
  </si>
  <si>
    <t>P-500-22248-454790</t>
  </si>
  <si>
    <t>STOCK-WAREHOUSE CLERK</t>
  </si>
  <si>
    <t>MUST BE ABLE TO WORK IN FLEXIBLE HOURS AND EARLY MORNING SHIFT. 
MUST BE ABLE TO LIFT AT LEAST 50 LBS. 
WILL CONSIDER FOREIGN EQUIVALENT HIGH SCHOOL DIPLOMA OR GED.</t>
  </si>
  <si>
    <t>Stockers and Order Fillers</t>
  </si>
  <si>
    <t>P-500-22248-454831</t>
  </si>
  <si>
    <t>Maintenance and Repair Worker</t>
  </si>
  <si>
    <t>P-500-22249-455296</t>
  </si>
  <si>
    <t xml:space="preserve">MASSAGE THERAPIST </t>
  </si>
  <si>
    <t xml:space="preserve">U.S. AND FOREIGN WORKERS MUST HAVE A CERTIFICATE IN THE ART OF THAI THERAPEUTIC MASSAGING AND MUSCLE RELAXATION. </t>
  </si>
  <si>
    <t>Massage Therapists</t>
  </si>
  <si>
    <t>P-500-22251-460503</t>
  </si>
  <si>
    <t>Building Repairs and Maintenance Worker</t>
  </si>
  <si>
    <t>Must have at least 2 years of working experience. 
EQUIPMENT MAINTENANCE PERFORMING ROUTINE MAINTENANCE ON EQUIPMENT AND DETERMINING WHEN AND WHAT KIND OF MAINTENANCE IS NEEDED REPAIRING
REPAIRING MACHINES OR SYSTEMS USING THE NEEDED TOOLS. TROUBLESHOOTING DETERMINING CAUSES OF OPERATING ERRORS AND DECIDING WHAT TO DO
ABOUT IT. CRITICAL THINKING USING LOGIC AND REASONING
TO IDENTIFY THE STRENGTHS AND WEAKNESSES OF ALTERNATIVE SOLUTIONS, CONCLUSIONS OR APPROACHES TO PROBLEMS. EQUIPMENT SELECTION
DETERMINING THE KIND OF TOOLS AND EQUIPMENT NEEDED TO DO A JOB. MONITORING MONITORING/ASSESSING PERFORMANCE OF YOURSELF, OTHER
INDIVIDUALS, OR ORGANIZATIONS TO MAKE IMPROVEMENTS OR TAKE CORRECTIVE ACTION. OPERATION AND CONTROL CONTROLLING OPERATIONS OF EQUIPMENT
OR SYSTEMS. MONITORING WATCHING
GAUGES, DIALS, OR OTHER INDICATORS TO MAKE SURE A MACHINE IS WORKING PROPERLY. ACTIVE LEARNING UNDERSTANDING THE IMPLICATIONS OF NEW
INFORMATION FOR BOTH CURRENT AND FUTURE PROBLEM-SOLVING AND DECISION-MAKING. COMPLEX
PROBLEM SOLVING IDENTIFYING COMPLEX PROBLEMS AND REVIEWING RELATED INFORMATION TO DEVELOP AND EVALUATE OPTIONS AND IMPLEMENT SOLUTIONS.</t>
  </si>
  <si>
    <t>P-500-22251-460598</t>
  </si>
  <si>
    <t>="Travel frequency is around 3-6 travels every year.  It involves travel with the players for international competitions sanctioned by the East Asian Football Federation (EAFF) and Asian Football Confederation (AFC), and for all other off-island training camps of national teams to areas among others are in Dededo, Guam (Postal Code 96912), Bunkyo-ku, Tokyo, Japan (Postal Code 113 8311), Manila, Philippines (Postal Code 1770), and other countries that will be scheduled for international matches organized by the EAFF and AFC."</t>
  </si>
  <si>
    <t>NURSING, PHYSICAL THERAPY</t>
  </si>
  <si>
    <t>Physiotherapy, Sports Therapist or Physical Therapisst</t>
  </si>
  <si>
    <t>Knowledge of human behaviors and performance. Must know the methods &amp; procedures for diagnosis, treatment, and rehabilitation of physical &amp; mental dysfunctions.  Must have knowledge in Kinesiology and other means of treatment for medical sports and injuries.</t>
  </si>
  <si>
    <t>Recreational Therapists</t>
  </si>
  <si>
    <t>P-500-22251-462780</t>
  </si>
  <si>
    <t>Office Clerks, General</t>
  </si>
  <si>
    <t>P-500-22252-462968</t>
  </si>
  <si>
    <t>MAINTENANCE</t>
  </si>
  <si>
    <t>HIGH SCHOOL GRADUATES, 12 MONTHS EXPERIENCE. CAN WORK FLEXIBLE TIME.</t>
  </si>
  <si>
    <t>P-500-22253-465294</t>
  </si>
  <si>
    <t xml:space="preserve">MAIDS AND HOUSEKEEPING CLEANERS </t>
  </si>
  <si>
    <t>Knowledge of principles and processes for providing customer and personal services. This includes customer needs assessment, meeting quality standards for services, and evaluation of customer satisfaction.
Knowledge of the structure and content of the English language including the meaning and spelling of words, rules of composition, and grammar.</t>
  </si>
  <si>
    <t>P-500-22253-465295</t>
  </si>
  <si>
    <t>BUSINESS MANAGEMENT</t>
  </si>
  <si>
    <t>OFFICE CLERKS, GENERAL</t>
  </si>
  <si>
    <t xml:space="preserve">KNOWLEDGEABLE IN QUICKBOOKS ACCOUNTING, PEACHTREE, SAGE, MS OFFICE, NUMERICAL SKILLS, ORGANIZATIONAL SKILLS, COMPUTER SKILLS, AND PROBLEM-SOLVING SKILLS. 
</t>
  </si>
  <si>
    <t>P-500-22253-465297</t>
  </si>
  <si>
    <t>In any Major</t>
  </si>
  <si>
    <t>LEGAL SECRETARIES AND ADMINISTRATIVE ASSISTANTS</t>
  </si>
  <si>
    <t>MUST HAVE AN ASSOCIATE'S DEGREE IN ANY MAJOR (MAY BE FOREIGN EDUCATIONAL EQUIVALENT). MUST HAVE 24 MONTHS OF EXPERIENCE IN ADMINISTRATIVE AND ACCOUNTING JOB, KNOWS HOW TO PROCESS IMMIGRATION DOCUMENTS, AND OTHER DOCUMENTS PROCESSING FINANCIAL REPORTS, RESEARCH ON LEGAL MATTERS, AND OTHER DUTIES THAT MAY BE ASSIGNED. CAN WORK WITHOUT SUPERVISION. MUST BE PROFICIENT WITH OUTLOOK, MICROSOFT WORD, EXCEL, QUICKBOOKS ACCOUNTING, PEACHTREE, SAGE, NUMERICAL SKILLS, ORGANIZATIONAL SKILLS, COMPUTER SKILLS, AND PROBLEM-SOLVING SKILLS MUST BE ABLE TO TAKE DICTATION. MUST BE ABLE TO WORK ON EXTENDED HOURS AND WORK ON HOLIDAYS IF NEEDED. MUST BE ABLE TO MULTITASK.</t>
  </si>
  <si>
    <t>Executive Secretaries and Executive Administrative Assistants</t>
  </si>
  <si>
    <t>P-500-22253-465301</t>
  </si>
  <si>
    <t>Knowledge of materials, methods, and tools involved in the construction or repair of houses, buildings, or other structures such as highways and roads.
Knowledge of machines and tools, including their designs, uses repair, and maintenance.
Knowledge of design techniques, tools, and principles involved in the production of precision technical plans, blueprints, drawings, and models.</t>
  </si>
  <si>
    <t>P-500-22254-465430</t>
  </si>
  <si>
    <t>P-500-22254-465431</t>
  </si>
  <si>
    <t>COMMERCIAL CLEANERS</t>
  </si>
  <si>
    <t>THE ABILITY TO BEND, STRETCH, TWIST, OR REACH WITH YOUR BODY, ARMS, AND LEGS.TRUNK STRENGTH. THE ABILITY TO USE YOUR ABDOMINAL AND BACK MUSCLES TO SUPPORT PART OF THE BODY REPEATEDLY OR CONTINUES TIME, WITHOUT GIVING OUT OR FATIGUING STAMINA. THE ABILITY TO EXERT YOURSELF PHYSICALLY OVER A LONG PERIOD OF TIME WITHOUT GETTING WINDEDOR OUT OF BREATHS, INFORMATION ORDERING. ABILITY TO CARRY HEAVY LINEN</t>
  </si>
  <si>
    <t>P-500-22254-465435</t>
  </si>
  <si>
    <t>The job requires being reliable, responsible, dependable and fulfilling obligations. Performing physical activities that require considerable use of arms and legs and moving the whole body. The job requires being careful about detail and thorough in completing work tasks.</t>
  </si>
  <si>
    <t>P-500-22255-465625</t>
  </si>
  <si>
    <t>Housekeeper</t>
  </si>
  <si>
    <t xml:space="preserve">Must be a High School Graduate. Must have 3 months experience as a Housekeeper. Strong ability to pull and push work-related equipment, such as a loaded housekeeping cart. Must be able to understand and follow instructions and put tasks in order. Must have good interpersonal skills to get along well with supervisors and the guests they serve. </t>
  </si>
  <si>
    <t>P-500-22255-465628</t>
  </si>
  <si>
    <t>Proven 24 month experience as Truck Mechanic Diesel Engine Specialist. Knowledgeable of using high power tools like drills, wrenches, lathes, welding equipment, or jacks and hoists
Compressors and accessories. Familiar of Heavy Equipment like Dump truck, Backhoe, lowboy, grader, manlift, Excavator telehandler. Knowledgeable for safety and health protocols in doing the task assign.</t>
  </si>
  <si>
    <t>P-500-22255-465666</t>
  </si>
  <si>
    <t>Ability to follow instructions from supervisors or senior maintenance workers. Knowledge of general carpentry and repair. Ability to use hand tools and power tools.</t>
  </si>
  <si>
    <t>P-500-22255-465747</t>
  </si>
  <si>
    <t>Associate in Business Management, Agri</t>
  </si>
  <si>
    <t>Farm Manager</t>
  </si>
  <si>
    <t>ASSOCIATE IN AGRI ECONOMICS OR BUS MAN</t>
  </si>
  <si>
    <t>Farmers, Ranchers, and Other Agricultural Managers</t>
  </si>
  <si>
    <t>P-500-22255-465755</t>
  </si>
  <si>
    <t>Business  or Tour Supervisor</t>
  </si>
  <si>
    <t>High school diploma, GED, or equivalent
12 MONTHS EXPERIENCE IN BUSINESS OR TOUR MANAGEMENT</t>
  </si>
  <si>
    <t>P-500-22255-467585</t>
  </si>
  <si>
    <t>Business Administration Management</t>
  </si>
  <si>
    <t>Tour Manager</t>
  </si>
  <si>
    <t>12 MONTHS EXPERIENCE AS TOUR MANAGER OR RELATED BUSINESS. MUST HAVE NO CRIMINAL RECORDS - BACKGROUND CHECKING WLL BE APPLIED TO ALL
APPLICANTS REGARDLESS OF STATUS, NATIONALITY AGE OR GENDER</t>
  </si>
  <si>
    <t>Administrative Services Managers</t>
  </si>
  <si>
    <t>P-500-22255-467627</t>
  </si>
  <si>
    <t>HUMAN RESOURCES OR BUSINESS MNGT</t>
  </si>
  <si>
    <t>sUPERVISOR</t>
  </si>
  <si>
    <t>12 MONTHS EXPERIENCE AS SUPERVISOR. ASSOCIATE DEGREE IN HUMAN RESOURCE OR BUSINESS MANAGEMENT.</t>
  </si>
  <si>
    <t>First-Line Supervisors of Housekeeping and Janitorial Workers</t>
  </si>
  <si>
    <t>P-500-22256-468073</t>
  </si>
  <si>
    <t>Housekeeper, Cleaner, Domestic Helper</t>
  </si>
  <si>
    <t>MUST BE HIGH SCHOOL GRADUATE OR EQUIVALENT. AT LEAST THREE (3) MONTHS EXPERIENCE TO TWO (2) OR LESS EMPLOYERS. PHYSICALLY ABLE TO PERFORM THEIR DUTIES. MUST MEET PHYSICAL REQUIREMENTS SUCH AS LIFTING OBJECTS OF AT LEAST 25 LBS.; UP TO 50 LBS. WITH HELP OF A HAND TRUCK OR LIMITED ASSISTANCE; BENDING AND STANDING FOR DURATION OF SHIFT. MUST BE ABLE TO WORK WITH HOUSEHOLD PETS. MUST KNOW HOW TO OPERATE CLEANING EQUIPMENT SUCH AS CARPET SHAMPOOERS, CARPET STEAMERS, CLOTHES WASHER AND DRYER, IRONING MACHINE OR PRESSES, FLOOR POLISHERS, AND VACUUM
CLEANERS. AS WELL AS THE ABILITY TO WORK WITH MINIMAL SUPERVISION. ABLE TO WORK DURING WEEKENDS OR NIGHT SHIFTS WHEN NEEDED. THE EMPLOYER
REQUIRES POST-OFFER PRE-EMPLOYMENT DRUG SCREENING TEST AND RANDOM DRUG TESTING WHICH IS TO BE APPLIED EQUALLY TO BOTH U.S. WORKERS AND CW-1 WORKERS. THE EMPLOYER REQUIRES THE POST-OFFER PRE-EMPLOYMENT POLICE CLEARANCE RECORD TO BE PROVIDED TO THE EMPLOYER; THIS REQUIREMENT IS TO BE APPLIED EQUALLY TO BOTH U.S. WORKERS AND CW-1 WORKERS.</t>
  </si>
  <si>
    <t>P-500-22256-468080</t>
  </si>
  <si>
    <t>Food Preparation Worker, Kitchen Helper</t>
  </si>
  <si>
    <t>High School graduate with a minimum of 1-year experience preferable in a high volume restaurant. Food and beverage and serving skills with customer service skills. Excellent understanding of food preparation fundamentals; ability to follow recipes; sound understanding of food allergies and foodborne illnesses; basic mathematical skills; excellent communication skills, both written and verbal. Able to work all shifting and flexible schedules including weekends and holidays. The work schedule for this position includes shifting &amp; split shifts and each beneficiary shall have different days off, each with 1-day off per week. All applicants must be able to secure the CNMI drivers license and Food Handlers Certificate. Must have own transportation to and from work. All applicants must attached resume, copy of diploma, education certificate, employment certification, and other related documents. Background checks and drug testing may be required during or prior to employment to all applicants.</t>
  </si>
  <si>
    <t>P-500-22256-468087</t>
  </si>
  <si>
    <t xml:space="preserve">Proven work experience as a Diesel or Heavy Equipment Mechanic.
Understanding of computer testing technologies.
Ability to lift heavy machinery.
Extensive knowledge of diesel engines and construction equipment.
Ability to work after-hours if required
</t>
  </si>
  <si>
    <t>P-500-22256-468090</t>
  </si>
  <si>
    <t>LAWN CARE &amp; GROUND MAINTENANCE WORKER</t>
  </si>
  <si>
    <t>Must have at least 1 month of experience. Must know how to handle chemicals and have an understanding of the safe use of pesticides. Must be able to lift upwards of 50 pounds and bend, lift, and stand for extended periods as well as climb heights (i.e., trees, ladders). Must be able to work outdoors in all weather conditions, maintaining energy and pace along with the team. Communication skills are required for interacting with customers, supervisors and other lawn care workers. Attention to detail is a necessary skill to allow the worker to perform their job accurately. Problem-solving skills are important for lawn care workers because they may encounter challenges while working. Applicant must be willing to work flexible time, even weekends or holidays if necessary. Adept at using a variety of hand and electrical gardening tools and equipment.</t>
  </si>
  <si>
    <t>P-500-22256-468554</t>
  </si>
  <si>
    <t>ELECTRICIAN</t>
  </si>
  <si>
    <t>WITH ABILITY TO READ BLUEPRINTS; KNOWLEDGE OF ELECTRICAL SYSTEMS AND WIRINGS; ABILITY TO USE HAND TOOLS AND POWER TOOLS MEASURING DEVICES, POWER
TOOLS, AND TESTING EQUIPMENT, SUCH AS OSCILLOSCOPES, AMMETERS, OR TEST LAMPS; PROFICIENT IN THE USE OF TEST METERS AND OTHER DIAGNOSTIC
EQUIPMENT; EXCELLENT ANALYTICAL AND PROBLEM-SOLVING SKILLS.</t>
  </si>
  <si>
    <t>P-500-22257-470857</t>
  </si>
  <si>
    <t>GAMEROOM CASHIER, GAMEROOM ATTENDANT</t>
  </si>
  <si>
    <t>High School graduate with a minimum of 1-year proven work experience in the proffered position. Must know basic mathematics and how to calculate and count monetary exchanges, winnings &amp; winnings taxes withhold. Must possess excellent interpersonal skills and know the principle of providing excellent customer service. Can work independently. The work schedule for this position includes shifting and split shifts.  Willing to work flexible hours including holidays and weekends. Must be honest, trustworthy, and has no theft records. Must have own transportation to and from work.  All applicants must attached resume, copy of diploma, education certificates, employment certification, and other related documents. Background checks and drug testing may be required during or prior to employment to all applicants.</t>
  </si>
  <si>
    <t>First-Line Supervisors of Gambling Services Workers</t>
  </si>
  <si>
    <t>P-500-22257-470868</t>
  </si>
  <si>
    <t>Cake Decorator</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</si>
  <si>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AMAZING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t>
  </si>
  <si>
    <t>P-500-22257-470982</t>
  </si>
  <si>
    <t>Baker</t>
  </si>
  <si>
    <t>HIGH SCHOOL DIPLOMA OR EQUIVALENT. MUST HAVE 12-MONTHS EXPERIENCE IN COMMERCIAL BAKING AND OPERATING A COMMERCIAL MIXER, COMMERCIAL DOUGH
ROLLER AND COMMERCIAL GAS OVEN. STRONG COMMUNICATION, TIME AND RESOURCE MANAGEMENT, AND PLANNING SKILLS. ATTENTION TO DETAIL, ESPECIALLY
WHEN PERFORMING QUALITY INSPECTIONS ON INGREDIENTS AND PRODUCTS. BASIC MATH AND COMPUTER SKILLS. WILLINGNESS TO WORK INDEPENDENTLY OR WITH OTHER TEAM MEMBERS TO SOLVE PROBLEMS, PLAN SCHEDULES, FULFILL ORDERS, AND CREATE BAKED GOODS. FLEXIBILITY TO WORK AROUND CUSTOMER
DEMANDS, INCLUDING EARLY MORNING, NIGHT, WEEKEND AND HOLIDAY AVAILABILITY. ABILITY TO WORK IN HOT, HECTIC ENVIRONMENT, STAND, WALK, BEND, USE HANDS AND APPLIANCES, AND LIFT HEAVY ITEMS FOR EXTENDED PERIODS. MUST BE ABLE TO WORK ON WEEKENDS AND HOLIDAYS ON SHORT NOTICE. APPLICANTS MUST BE READY TO TAKE A SKILLED-BAKERS TEST AT THE BAKERY AFTER PASSING INITIAL INTERVIEW. THE SKILL TESTING AND COMPREHENSION EXAM ARE REQUIRED EQUALLY OF BOTH US AND FOREIGN WORKERS</t>
  </si>
  <si>
    <t>P-500-22257-470997</t>
  </si>
  <si>
    <t>ASSOCIATE IN PHYSICAL THERAPY</t>
  </si>
  <si>
    <t>PT/PHYSICAL THERAPY ASSISTANT LICENSE</t>
  </si>
  <si>
    <t>Physical Therapist Assistants</t>
  </si>
  <si>
    <t>P-500-22257-471005</t>
  </si>
  <si>
    <t>12 MONTHS OF EXPERIENCED</t>
  </si>
  <si>
    <t>1 year working experience in congregation and understanding of bookkeeping. Able to have a time management. Ability to legible handwriting and take notes and accurately, sort and distribute mail. Can handle emails, send thank you notes and record information regarding church members milestones, such as wedding, baptism certificates and list of committees. Able to pay bills, maintaining tax files and schedule service calls for office equipment.</t>
  </si>
  <si>
    <t>P-500-22257-471014</t>
  </si>
  <si>
    <t xml:space="preserve">Accounting  Business Administration </t>
  </si>
  <si>
    <t xml:space="preserve">An Associate Degree in Accounting or Business Administration 
 or Accounting Certification (Associates equivalent) from non-US certifying body 	is acceptable	
Should have at least 48 months of experience as an Accountant.
Knowledge of accounting principles and practices.
Can operate Accounting software - Peach Tree, Quick Books
Knows how to operate Microsoft Excel, Microsoft Word, Adobe Acrobat
Can work independently with minimum supervision.
</t>
  </si>
  <si>
    <t>P-500-22257-471039</t>
  </si>
  <si>
    <t>BAKER</t>
  </si>
  <si>
    <t>MUST BE A HIGH SCHOOL GRADUATE OR  EQUIVALENT WITH 12-MONTHS OF WORK RELATED EXPERIENCE. HAS KNOWLEDGE OF RAW MATERIALS, PRODUCTION
PROCESSES, QUALITY CONTROL, COSTS, AND OTHER TECHNIQUES FOR MAXIMIZING THE EFFECTIVE MANUFACTURE AND DISTRIBUTION OF GOODS. MUST BE
FLEXIBLE TO WORK AROUND THE CUSTOMER DEMANDS, INCLUDING EARLY MORNING, NIGHT, WEEKEND AND HOLIDAY
AVAILABILITY. HAS THE ABILITY TO WORK IN HOT, HECTIC ENVIRONMENT, STAND, WALK, BEND, USE HAND AND APPLIANCES, AND LIFT ITEMS FOR EXTENDED PERIODS.
MUST HAVE BASIC MATH AND COMPUTER SKILLS.
MUST KNOW HOW TO MEASURE AND CALCULATE INGREDIENTS ACCORDING TO THE AMOUNT OF PRODUCT NEEDS TO PRODUCE</t>
  </si>
  <si>
    <t>P-500-22258-473548</t>
  </si>
  <si>
    <t>Maintenance Repairer</t>
  </si>
  <si>
    <t>Work Experience Requirement: minimum of 1 year on related occupation</t>
  </si>
  <si>
    <t>P-500-22258-473563</t>
  </si>
  <si>
    <t>TOUR COORDINATOR OR RELATED JOB</t>
  </si>
  <si>
    <t>MINIMUM 24 MONTHS EXPERIENCE, ABLE TO DRIVE MOTOR VEHICLES WITH DRIVER'S LICENSE, MUST KNOW HOW TO USE COMPUTER, FAMILIAR WITH MICROSOFT WORD, EXCEL &amp; POWERPOINT, MUST KNOW HOW TO SPEAK KOREAN TO ACCOMMODATE TARGET MARKET. MAY BE REQUIRED TO PROVIDE EMPLOYMENT CERTIFICATION FROM PREVIOUS EMPLOYER(S)  &amp; POLICE CLEARANCE DURING FINAL STAGE OF INTERVIEW. QUALIFICATIONS &amp; SPECIAL REQUIREMENTS APPLY EQUALLY TO  BOTH US &amp; CW-1 WORKER APPLICANTS</t>
  </si>
  <si>
    <t>Tour Guides and Escorts</t>
  </si>
  <si>
    <t>P-500-22259-476359</t>
  </si>
  <si>
    <t>With baking experience in commercial establishment and be able to produce Filipino breads and pastries. Be able to get CNMI Food Handler certificate.</t>
  </si>
  <si>
    <t>P-500-22259-476378</t>
  </si>
  <si>
    <t>Soils/Materials Technician or Assistant Soils/Materials Technician</t>
  </si>
  <si>
    <t>High School Diploma (may be foreign educational equivalent); two (2) years of experience as a Soils/Materials Technician or Assistant Soils/Materials Technician; and possesses American Concrete Institute ACI Concrete Field Testing Technician - Grade I Certification, ACI Concrete Laboratory Testing Technician - Level 1 Certification and ACI Concrete Laboratory Testing Technician - Level 2 Certification.</t>
  </si>
  <si>
    <t>Soil and Plant Scientists</t>
  </si>
  <si>
    <t>P-500-22259-476470</t>
  </si>
  <si>
    <t>BUSINESS OR OTHER JOB-RELATED MAJORS</t>
  </si>
  <si>
    <t>JOB-RELATED TRAINING</t>
  </si>
  <si>
    <t>JOB-RELATED OCCUPATIONS</t>
  </si>
  <si>
    <t>PREVIOUS JOB-RELATED SKILLS, KNOWLEDGE, OR EXPERIENCE, AS WELL AS COMMUNICATION, ORGANIZATION, COORDINATION, MATHEMATICS, ACTIVE LISTENING, CRITICAL THINKING, MONITORING, TIME MANAGEMENT, AND COMPLEX PROBLEM SOLVING.</t>
  </si>
  <si>
    <t>First-Line Supervisors of Mechanics, Installers, and Repairers</t>
  </si>
  <si>
    <t>CW-1 Guam OES</t>
  </si>
  <si>
    <t>P-500-22259-476512</t>
  </si>
  <si>
    <t>PREVIOUS WORK-RELATED SKILLS, KNOWLEDGE, OR EXPERIENCE IS REQUIRED. SERVICE ORIENTATION, ACTIVE LISTENING, COORDINATION, SOCIAL PERCEPTIVENESS, TIME MANAGEMENT, AND JUDGEMENT AND DECISION-MAKING SKILLS.</t>
  </si>
  <si>
    <t>P-500-22259-476524</t>
  </si>
  <si>
    <t>ACCOUNTING OR JOB-RELATED MAJORS</t>
  </si>
  <si>
    <t>WORK-RELATED SKILLS, KNOWLEDGE, OR EXPERIENCE IS REQUIRED AS WELL AS ACTIVE LISTENING, COORDINATION, CRITICAL THINKING, MANAGEMENT OF PERSONNEL RESOURCES, MONITORING, TIME MANAGEMENT, SOCIAL PERCEPTIVENESS, COMPLEX PROBLEM SOLVING, AND JUDGEMENT AND DECISION MAKING.</t>
  </si>
  <si>
    <t>Sales Managers</t>
  </si>
  <si>
    <t>P-500-22260-478764</t>
  </si>
  <si>
    <t>SALES REPRESENTATIVE</t>
  </si>
  <si>
    <t>Ability to promote and convince customers to buy the fish products of different variety.  Directly interacts with customers and willingness to introduce new catch of fish of each kind.</t>
  </si>
  <si>
    <t>Sales Representatives, Wholesale and Manufacturing, Except Technical and Scientific Products</t>
  </si>
  <si>
    <t>P-500-22262-479009</t>
  </si>
  <si>
    <t>12 MONTHS OF PREVIOUS WORK-RELATED SKILL, KNOWLEDGE, OR EXPERIENCE.</t>
  </si>
  <si>
    <t>P-500-22262-479219</t>
  </si>
  <si>
    <t>ASSOCIATES DEGREE IN EDUCATION</t>
  </si>
  <si>
    <t>ON THE JOB TRAINING</t>
  </si>
  <si>
    <t>TEACHER ASSISTANT</t>
  </si>
  <si>
    <t>ABILITY TO SUPPORT CO-WORKER IN THEIR GOALS FOR STUDENT LEARNING. KNOW THE PROCEDURES FOR DEALING WITH EMERGENCY SITUATIONS IN CLASSROOM AND SCHOOL.</t>
  </si>
  <si>
    <t>Teaching Assistants, Special Education</t>
  </si>
  <si>
    <t>P-500-22262-481228</t>
  </si>
  <si>
    <t>MAINTENANCE REPAIRER, PLUMBER, PIPE FITTER, CARPENTER, WELDER, OR CONSTRUCTION WORKER</t>
  </si>
  <si>
    <t>MUST HAVE KNOWLEDGE IN PIPE FITTING, ELECTRICAL WORKS, CARPENTRY, AND WELDING.  CAN OPERATE AND MAINTAIN HAND TOOLS AND POWER TOOLS.</t>
  </si>
  <si>
    <t>P-500-22262-481253</t>
  </si>
  <si>
    <t>ASSOCIATE’S, ENGINEERING OR ARCHITECTU</t>
  </si>
  <si>
    <t>CIVIL ENGINEERING TECH, ELECTRICAL ENGINEERING TECH, ARCHITECT</t>
  </si>
  <si>
    <t xml:space="preserve">COMPUTER-AIDED DESIGN CAD SOFTWARE, AUTODESK AUTO CAD 3D.  MICROSOFT EXCEL.  ENGINEERING AND TECHNOLOGY KNOWLEDGE OF THE PRACTICAL APPLICATION OF ENGINEERING SCIENCE AND TECHNOLOGY.  THIS INCLUDES APPLYING PRINCIPLES, TECHNIQUES, PROCEDURES, AND EQUIPMENT TO THE DESIGN AND PRODUCTION OF VARIOUS GOODS AND SERVICES.  BUILDING AND CONSTRUCTION KNOWLEDGE OF MATERIALS, METHODS, AND THE TOOLS INVOLVED IN THE CONSTRUCTION OR REPAIR OF HOUSES, BUILDINGS, OR OTHER STRUCTURES SUCH AS HIGHWAYS AND ROADS.  DESIGN KNOWLEDGE OF DESIGN SYSTEMS SUCH AS WORD PROCESSING, MANAGING FILES AND RECORDS, STENOGRAPHY AND TRANSCRIPTION, DESIGNING FORMS, AND OTHER OFFICE PROCEDURES AND TERMINOLOGY.  </t>
  </si>
  <si>
    <t>Civil Engineering Technologists and Technicians</t>
  </si>
  <si>
    <t>P-500-22262-481347</t>
  </si>
  <si>
    <t>RELATED TO ACCOUNTING OR FINANCIAL MAJ</t>
  </si>
  <si>
    <t>OFFICE CLERKS GENERAL</t>
  </si>
  <si>
    <t>Skilled accounting clerk to perform a variety accounting, bookkeeping and financial tasks. Proven accounting experience, preferably as an Accounts Receivable Clerk or Accounts Payable Clerk. Must be Associates degree related to Accounting or Financial Majors. College graduate and relevant certification is a plus. No more than 24 months of work experience including job experience and informal training with experienced workers. Familiarity with bookkeeping and basic accounting procedures. Competency in MS Office, databases and accounting software. Must have knowledge in Quick Books Accounting Systems. Hands-on experience with spreadsheets and financial reports. Accuracy and Attention to detail. Aptitude for numbers. Ability to perform filing and record keeping tasks. Data entry and word processing skills. Well organized. Available to work flexible hours that may include early mornings, evenings, weekends, nights and/or holidays. Proof eligibility is required for both U.S. and Foreign applicants/workers.</t>
  </si>
  <si>
    <t>P-500-22262-481348</t>
  </si>
  <si>
    <t xml:space="preserve">Engineering or Architecture </t>
  </si>
  <si>
    <t>Must  have at least an Associate Degree in Engineering or Architecture</t>
  </si>
  <si>
    <t xml:space="preserve">Computer aided design CAD  software.
</t>
  </si>
  <si>
    <t>P-500-22262-481358</t>
  </si>
  <si>
    <t>Have 24 months of continuous work experience in store maintenance</t>
  </si>
  <si>
    <t>P-500-22263-481367</t>
  </si>
  <si>
    <t>Engineering or Architecture</t>
  </si>
  <si>
    <t>Must have at least an associate Degree in Engineering or Architecture</t>
  </si>
  <si>
    <t xml:space="preserve">Computer Aided design CAD Software. </t>
  </si>
  <si>
    <t>P-500-22263-481369</t>
  </si>
  <si>
    <t xml:space="preserve">CHIEF EXECUTIVES </t>
  </si>
  <si>
    <t xml:space="preserve">Must have 24 months of continuous experience as a store manager, and understand budgeting and accounting knowledge
Knowledge of business and management principles involved in strategic planning, resource allocation, human resources modeling, leadership technique, production methods, and coordination of people and resources.
Knowledge of principles and processes for providing customer and personal services. This includes customer needs assessment, meeting quality standards for services, and evaluation of customer satisfaction.
</t>
  </si>
  <si>
    <t>P-500-22263-481387</t>
  </si>
  <si>
    <t>On-the -job training</t>
  </si>
  <si>
    <t>Graphic Designer</t>
  </si>
  <si>
    <t xml:space="preserve">Ability to use CAD software to generate new images.
Knowledge of design techniques, tools, and principles involved in production of precision technical plans, blueprints, drawings, and models
</t>
  </si>
  <si>
    <t>Graphic Designers</t>
  </si>
  <si>
    <t>P-500-22263-481446</t>
  </si>
  <si>
    <t>General Maintenance  Repair Worker</t>
  </si>
  <si>
    <t>Skilled in the use of power tools and hand tools. Experience performing routine maintenance with 12 months experience as a Maintenance Repair Workers.</t>
  </si>
  <si>
    <t>P-500-22263-481452</t>
  </si>
  <si>
    <t xml:space="preserve">General Maintenance and Repair workers  </t>
  </si>
  <si>
    <t xml:space="preserve">Skilled in the use of power tools and hand tools. Experience performing routine maintenance with 12 months experience as Maintenance Repair Workers.  </t>
  </si>
  <si>
    <t>P-500-22263-481465</t>
  </si>
  <si>
    <t>ESTHETICIAN</t>
  </si>
  <si>
    <t>MUST HAVE CERTIFICATION AS ESTHETICIAN BOTH FOR US AND NON- US WORKERS.</t>
  </si>
  <si>
    <t>Skincare Specialists</t>
  </si>
  <si>
    <t>P-500-22263-481631</t>
  </si>
  <si>
    <t>General Maintenance Worker</t>
  </si>
  <si>
    <t xml:space="preserve">PROVEN 12 MONTH OF WORKING EXPERIENCE AS MAINTENANCE WORKER.
KNOWLEDGEABLE TO USE POWER TOOLS AND MANUAL TOOLS LIKE HAMMER DRILLS, GRINDERS, SANDERS, PLIERS, ADJUSTABLE WRENCHES, ELECTRIC CUTTERS..ETC . </t>
  </si>
  <si>
    <t>P-500-22263-481634</t>
  </si>
  <si>
    <t>Knowledgeable in mechanic and repair technologies. Can diagnose and troubleshoot a problem system or application.</t>
  </si>
  <si>
    <t>P-500-22263-481647</t>
  </si>
  <si>
    <t>Accounting Clerk</t>
  </si>
  <si>
    <t>Must have at least 12  months of work experience as an Accounting Clerk.</t>
  </si>
  <si>
    <t>P-500-22263-484165</t>
  </si>
  <si>
    <t>SCUBA DIVING INSTRUCTION</t>
  </si>
  <si>
    <t>SCUBA DIVING INSTRUCTOR</t>
  </si>
  <si>
    <t>Certification from PADI is required.</t>
  </si>
  <si>
    <t>Self-Enrichment Teachers</t>
  </si>
  <si>
    <t>P-500-22264-484304</t>
  </si>
  <si>
    <t>PRACTICAL MEDICAL EQUIPMENT TRAINING</t>
  </si>
  <si>
    <t>MEDICAL SALES REPRESENTATIVE</t>
  </si>
  <si>
    <t>With background in medical sales industry
Knowledgeable in medical mobility aid
Knowledgeable in breathing and respiratory equipment
Knowledgeable in homecare medical equipment
Capacity to learn scientific and medical details
Computer literate
Must be able to drive and has driver's license</t>
  </si>
  <si>
    <t>Sales Representatives, Wholesale and Manufacturing, Technical and Scientific Products</t>
  </si>
  <si>
    <t>P-500-22265-487452</t>
  </si>
  <si>
    <t>HOUSEKEEPING CLEANER</t>
  </si>
  <si>
    <t>CAN OPERATE HOUSEKEEPING EQUIPMENT</t>
  </si>
  <si>
    <t>P-500-22265-487459</t>
  </si>
  <si>
    <t>BACHELOR OF SCIENCE IN ACCOUNTANCY</t>
  </si>
  <si>
    <t>KNOWLEDGE IN ANY COMPUTER SOFTWARE IS A MUST. KNOWLEDGE IN USCIS COMPLIANCE TO CW1 PROCESS IS A MUST.</t>
  </si>
  <si>
    <t>P-500-22265-487478</t>
  </si>
  <si>
    <t>CPR TRAINING AN FOOD HANDLING TRAINING</t>
  </si>
  <si>
    <t>CHILDCARE WORKER</t>
  </si>
  <si>
    <t>HIGH SCHOOL GRADUATE WITH AT LEAST  MINIMUM OF SIX (6) MONTHS OF WORKING EXPERIENCE IN DAYCARE CENTER SETTING. MUST HAVE AND DEMONSTRATE GOOD SPEAKING AND LISTENING COMMUNICATION SKILLS WHEN DISCUSSING PROGRESS OF A CHILD IN HIS/HER CARE. EXCELLENT CHILD SUPERVISION SKILLS. KNOWLEDGE AND UNDERSTANDING OF CHILDREN'S GROWTH AND DEVELOPMENT NEEDS FOR SOCIAL, PHYSICAL AND INTELLECTUAL EXPANSION. EFFICIENT IN OFFERING OF A SAFE ENVIRONMENT FOR EACH CHILD INCLUDING THEIR NUTRITIONAL, TECHNOLOGICAL AND HYGIENIC NEEDS. MUST BE CERTIFIED THROUGH BOTH THE INFANT TODDLER ENVIRONMENT RATING SCALE AND THE EARLY CHILDHOOD RATING SCALE.</t>
  </si>
  <si>
    <t>Childcare Workers</t>
  </si>
  <si>
    <t>P-500-22265-487502</t>
  </si>
  <si>
    <t>SELF-ENRICHMENT TEACHER</t>
  </si>
  <si>
    <t>KNOWLEDGE OF PRINCIPLES AND METHODS FOR CURRICULUM AND TRAINING DESIGN, TEACHING AND INSTRUCTION FOR INDIVIDUALS AND GROUPS, AND THE MEASUREMENT OF TRAINING EFFECTS. ABILITY TO COMMUNICATE INFORMATION AND IDEAS IN SPEAKING SO OTHERS WILL UNDERSTAND. KNOWLEDGE OF USING A VARIETY OF COMPUTER SOFTWARE AND E-MAIL APPLICATIONS, ESPECIALLY MICROSOFT EXCEL, OUTLOOK AND WORD. ABILITY TO COMPOSE MATERIAL SUCH AS DETAILED REPORTS, WORK-RELATED MANUALS, PUBLICATIONS OF LIMITED SCOPE OR IMPACT AND TO MAKE PRESENTATIONS OUTSIDE OF THE IMMEDIATE WORK AREA. MAY WORK PROLONGED OR IRREGULAR HOURS.</t>
  </si>
  <si>
    <t>P-500-22265-487547</t>
  </si>
  <si>
    <t>Business Administration/ Accountancy</t>
  </si>
  <si>
    <t>Accounting Specialist</t>
  </si>
  <si>
    <t>Must have a Bachelors Degree in Business Administration / Accountancy.
Must be knowledgeable in accounting softwares such as SAP, Oracle, Peachtree / Quickbooks.
Must be good in Microsoft Office (Advanced Excel, Powerpoint, Word).</t>
  </si>
  <si>
    <t>P-500-22265-487560</t>
  </si>
  <si>
    <t>HIGH SCHOOL GRADUATE WITH 12 MONTHS WORKING EXPERIENCE. MUST HAVE EXPERIENCE IN MAINTENANCE WORK. KNOW LANDSCAPING AND GARDENING. KNOW HOW TO TAKE CARE ORNAMENTAL PLANTS.  DO OTHER RELATED DUTIES AS ASSIGNED.</t>
  </si>
  <si>
    <t>P-500-22266-489869</t>
  </si>
  <si>
    <t>Front Desk Assistant</t>
  </si>
  <si>
    <t>Hotel, Motel, and Resort Desk Clerks</t>
  </si>
  <si>
    <t>P-500-22266-489931</t>
  </si>
  <si>
    <t>Maintenance Worker and Related Fields</t>
  </si>
  <si>
    <t>Demonstrate ability in operating tools and machinery necessary for building, machine, and auto repair.</t>
  </si>
  <si>
    <t>P-500-22266-489999</t>
  </si>
  <si>
    <t>Photographing</t>
  </si>
  <si>
    <t>Knowledge of graphing and photo imaging software
Knowledge of video creation and editing software
Knowledge of circuit boards, processors, chips, electronic equipment, and computer hardware and software, including applications and programming.
Knowledge of the theory and techniques required to compose, produce, and perform works of music, dance, visual arts, drama, and sculpture.</t>
  </si>
  <si>
    <t>Photographers</t>
  </si>
  <si>
    <t>P-500-22266-490003</t>
  </si>
  <si>
    <t>farmer</t>
  </si>
  <si>
    <t>At least 3 months of working continuous experience in a related position. Be able to identify the difference between weeds and vegetables.</t>
  </si>
  <si>
    <t>Farmworkers, Farm, Ranch, and Aquacultural Animals</t>
  </si>
  <si>
    <t>P-500-22266-490019</t>
  </si>
  <si>
    <t>Aircraft Maintenance Technology or Aer</t>
  </si>
  <si>
    <t>Aircraft Maintenance Technology or Aero</t>
  </si>
  <si>
    <t>Aircraft Maintenance Technician</t>
  </si>
  <si>
    <t>Education: Associates Degree major in Aircraft Maintenance Technology or Aeronautical Engineering. Training: number of months  required:  18 months.  Work experience: number of months required:   24 months work experience as an Aircraft Maintenance Technician. Knowledge of machines and tools, including their designs, uses, repair, and maintenance. Knowledge of the practical application of engineering science and technology. Knowledge of principles and processes for providing customer and personal services. Performing routine maintenance on equipment and determining when and what kind of maintenance is needed. Repairing
machines or systems using the needed tools.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Determining the kind of tools and equipment needed to do a job. Skilled in the use of specialized aircraft testing equipment and hold current U.S. FAA A&amp;P License or an equivalent foreign license. Skilled in the use of various operating systems: Technical manual database software, Microsoft Office, Microsoft Windows, Microsoft Word, and Microsoft Excel.</t>
  </si>
  <si>
    <t>Aircraft Mechanics and Service Technicians</t>
  </si>
  <si>
    <t>P-500-22266-490305</t>
  </si>
  <si>
    <t xml:space="preserve">Work as a maintenance worker in the supermarket for at least 24 months consecutive months
</t>
  </si>
  <si>
    <t>P-500-22266-490333</t>
  </si>
  <si>
    <t>STORE MAINTENANCE</t>
  </si>
  <si>
    <t xml:space="preserve">Have 24 months of continuous work experience in store maintenance
</t>
  </si>
  <si>
    <t>P-500-22266-490365</t>
  </si>
  <si>
    <t>AT LEAST 24 MONTHS OF WORKING CONTINUOUS EXPERIENCE IN RELATED POSITION. NEED TO BE ABLE TO COOK CHINESE FOOD SUCH AS CANTONESE, HUNAN, ETC</t>
  </si>
  <si>
    <t>P-500-22267-492583</t>
  </si>
  <si>
    <t>BUILDING MAINTENANCE</t>
  </si>
  <si>
    <t>MUST AT LEAST HAVE HIGH SCHOOL DIPLOMA OR ITS EQUIVALENT. MUST HAVE THREE (3) MONTHS PREVIOUS WORK RELATED EXPERIENCE, SKILLS &amp; KNOWLEDGE. APPLICANTS MUST BE ABLE TO LIFT AT LEAST 45 LBS. &amp; CAN WORK ON A FLEXIBLE HOURS OR AN EARLY MORNING SHIFT.  WILL CONSIDER FOREIGN EQUIVALENT OF HIGH SHCOOL DIPLOMA OR GED.</t>
  </si>
  <si>
    <t>P-500-22267-492584</t>
  </si>
  <si>
    <t>General Maintenance &amp; Repair Services</t>
  </si>
  <si>
    <t>Must have knowledge in using power tools. Flexible and hardworking.</t>
  </si>
  <si>
    <t>P-500-22267-492585</t>
  </si>
  <si>
    <t>GROUNDS MAINTENANCE</t>
  </si>
  <si>
    <t>MUST AT LEAST HAVE HIGH SCHOOL DIPLOMA OR ITS EQUIVALENT.  MUST HAVE THREE (3) MONTHS PREVIOUS WORK EXPERIENCE,  SKILLS &amp; KNOWLEDGE.  APPLICANTS MUST BE ABLE TO LIFT AT LEAST 45 LBS. &amp; CAN WORK ON A FLEXIBLE HOURS  OR AN EARLY MORNING SHIFT.  WILL CONSIDER FOREIGN EQUIVALENT OF HIGH SCHOOL DIPLOMA OR GED.</t>
  </si>
  <si>
    <t>P-500-22267-492589</t>
  </si>
  <si>
    <t>MUST HAVE HIGH SHCOOL DIPLOMA OR ITS EQUIVALENT. MUST HAVE THREE (3) MONTHS PREVIOUS WORK RELATED SKILLS, KNOWLEDGE &amp; EXPERIENCE.  APPLICANTS MUST BE ABLE TO LIFT AT LEAST 45 LBS.  &amp; CAN WORK ON A FLEXIBLE HOURS OR AN EARLY MORNING SHIFT. WILL CONSIDER FOREIGN EQUIVALENT OF HIGH SCHOOL DIPLOMA OR GED.</t>
  </si>
  <si>
    <t>P-500-22267-492591</t>
  </si>
  <si>
    <t>="AMERICAN FEDERAL "ZJC" GROUP LTD. CO. "</t>
  </si>
  <si>
    <t>AIRCON TECHNICIAN</t>
  </si>
  <si>
    <t xml:space="preserve">MUST HAVE AT LEAST ONE YEAR EXPERIENCE AS AN AIRCON TECHNICIAN.  MUST BE ABLE TO READ SCHEMATICS, GAUGES
AND
METERS. MUST HAVE KNOWLEDGE IN WELDING, ELECTRICAL AND CHARGING. 
</t>
  </si>
  <si>
    <t>P-500-22268-492775</t>
  </si>
  <si>
    <t>Please see Addendum</t>
  </si>
  <si>
    <t>P-500-22268-492777</t>
  </si>
  <si>
    <t>N/a</t>
  </si>
  <si>
    <t>Heavy Equipment Driver</t>
  </si>
  <si>
    <t>PROVEN 6 MOS EXPERIENCE OF OPERATING HEAVY
EQUIPMENT SUCH AS BULLDOZERS, DUMPTRUCK, EXCAVATORS, LOADERS, CRANE,  BACKHOES ,GRADER, TELEHANDLER. ALSO HAVE KNOWLEDGE IN MAINTAINING THE HEAVY
EQUIPMENT</t>
  </si>
  <si>
    <t>Operating Engineers and Other Construction Equipment Operators</t>
  </si>
  <si>
    <t xml:space="preserve">
</t>
  </si>
  <si>
    <t>P-500-22269-492779</t>
  </si>
  <si>
    <t xml:space="preserve">CIVIL ENGINEERING OR RELATED FIELD </t>
  </si>
  <si>
    <t>Applicants must have an Associates Degree in Civil Engineer or related field. Must have at least 24 months of work experience. Must be knowledgeable in Engineering and Technology which includes applying principles, techniques, procedures and equipment to the design and production of various goods and services.</t>
  </si>
  <si>
    <t>P-500-22269-492802</t>
  </si>
  <si>
    <t>TAXI DRIVER</t>
  </si>
  <si>
    <t>One Year experience as a taxi driver. Must have excellent written and verbal communication, decision-making and customer service skills. Knowledge of local geography and map-reading skills are essential. Must have drivers license.</t>
  </si>
  <si>
    <t>Taxi Drivers</t>
  </si>
  <si>
    <t>P-500-22269-492821</t>
  </si>
  <si>
    <t>12 MONTHS OF WORK EXPERIENCE IN RELATED FIELD. Applicants must be knowledgeable in: Equipment Maintenance: performing routine maintenance on equipment and determining when and what kind of maintenance is needed. Repairing: repairing machines or systems using the needed tools. Troubleshooting: determining causes of operating errors and deciding what to do about it. Critical Thinking: using logic and reasoning to identify the strengths and weaknesses of alternative solutions, conclusions or approaches to problems. Equipment Selection: determining the kind of tools and equipment needed to do a job.</t>
  </si>
  <si>
    <t>P-500-22269-492831</t>
  </si>
  <si>
    <t>12 MONTHS OF WORK EXPERIENCE IN RELATED FIELD. 
Applicants must be knowledgeable in: Equipment Maintenance: performing routine maintenance on equipment and determining when and what kind of maintenance is needed. Repairing: repairing machines or systems using the needed tools. Troubleshooting: determining causes of operating errors and deciding what to do about it. Critical Thinking: using logic and reasoning to identify the strengths and weaknesses of alternative solutions, conclusions or approaches to problems. Equipment Selection: determining the kind of tools and equipment needed to do a job.</t>
  </si>
  <si>
    <t>P-500-22269-492835</t>
  </si>
  <si>
    <t>TRUCK/DELIVERY DRIVER</t>
  </si>
  <si>
    <t>BASIC KNOWLEDGE OF ROUTINE MAINTENANCE OF VEHICLES SUCH AS CHANGE OIL, LUBRICATION AND TUNE UPS.</t>
  </si>
  <si>
    <t>Light Truck Drivers</t>
  </si>
  <si>
    <t>P-500-22269-492842</t>
  </si>
  <si>
    <t>SALESMAN</t>
  </si>
  <si>
    <t>MUST HAVE SUBSTANTIAL KNOWLEDGE AND EXPERIENCE ON PRODUCT WHOLESALING, ESTIMATING OR QUOTING OF PRICES, CREDIT OR CONTRACT TERMS, WARRANTIES AND DELIVERY DATES. MUST BE ABLE TO MONITOR MARKET CONDITIONS, PRODUCT INNOVATIONS AND COMPETITORS' PRODUCTS, PRICES AND SALES.
EXPERIENCED ON HOW TO PLAN, ASSEMBLE AND STOCK PRODUCTS DISPLAYS ON RETAIL STORES OR MAKE RECOMMENDATIONS REGARDING PROMOTIONAL
PROGRAM DISPLAYS AND ADVERTISING. ABLE TO SUPPORT SALES DEPARTMENT IN RESEARCH AND PRODUCT COSTING. MUST BE VERSED IN MICROSOFT OFFICE
APPLICATIONS. MUST HAVE VALID DRIVER'S LICENSE AND CLEAN TRAFFIC HISTORY. TRUSTWORTHY, HONEST, EFFICIENT, EFFECTIVE AND DEPENDABLE.</t>
  </si>
  <si>
    <t>Driver/Sales Workers</t>
  </si>
  <si>
    <t>P-500-22269-493078</t>
  </si>
  <si>
    <t>BOOKKEEPER/ ACCOUNTING CLERK</t>
  </si>
  <si>
    <t>MUST BE PROFICIENT IN PEACHTREE ACCOUNTING PROGRAM AND MICROSOFT OFFICE APPLICATIONS. MUST HAVE RELATED EXPERIENCE, KNOWLEDGE AND SKILL IN
ACCOUNTING WITH EMPHASIS ON PAYABLES, PURCHASING AND INVENTORY MANAGEMENT. MUST BE FAMILIAR WITH WAREHOUSING AND LOGISTICS PROCEDURE.</t>
  </si>
  <si>
    <t>P-500-22269-493079</t>
  </si>
  <si>
    <t>AIR CONTIONING TECHNICIAN OR RELATED WORKS</t>
  </si>
  <si>
    <t>With 12 months of experience and a certificate of employment as an Air Conditioning Technician to be applied equally to all applicants regardless of nationality.</t>
  </si>
  <si>
    <t>P-500-22269-493084</t>
  </si>
  <si>
    <t>CIVIL ENGINEERING OR RELATED FIELD</t>
  </si>
  <si>
    <t xml:space="preserve">Applicants must have an Associate Degree in Engineering or related field. Applicant must also have at least 24 months of work experience. Must be knowledgeable in Engineering and Technology. </t>
  </si>
  <si>
    <t>P-500-22269-492861</t>
  </si>
  <si>
    <t>High School diploma or GED. Must have twelve (12) months prior work experience as a General Maintenance Worker. Position requires a lot of standing, walking, bending, stretching, and other physical dexterity. The work may be performed inside and/or outside of the office or shop buildings, in conditions involving inclement weather, excessive heat, cold, or noise level, standing, walking, bending stretching, and other physical dexterity. Must be able to operate hand tools and power tools. Must be able to work nights, weekends, holidays, and during inclement weather. Must be able to lift and carry at least 30 pounds on a regular basis.   Must be able to drive Company vehicles safely through various work routes.</t>
  </si>
  <si>
    <t>P-500-22269-492886</t>
  </si>
  <si>
    <t>Manicurist</t>
  </si>
  <si>
    <t>Knowledge of providing customer and personal services. 
Knowledge of different designs and services that are provided
Proven work experience as a nail technician, manicurist or similar role
Expertise in basic and advanced nail techniques, including French manicures, airbrushing and gel manicures
Experience in customer service 
Understanding of sanitation and sterilization standards</t>
  </si>
  <si>
    <t>Manicurists and Pedicurists</t>
  </si>
  <si>
    <t>P-500-22269-492926</t>
  </si>
  <si>
    <t>Experience as a Backhoe Operator, Pay Loader , Grader  Operator</t>
  </si>
  <si>
    <t xml:space="preserve">Operating Engineers and other Construction Equipment Certificate such as Backhoe or Excavator or Pay Loader Operator. </t>
  </si>
  <si>
    <t>P-500-22269-493118</t>
  </si>
  <si>
    <t>ANY</t>
  </si>
  <si>
    <t>DAYCARE/CHILDCARE WORKER</t>
  </si>
  <si>
    <t>MUST HAVE NECESSARY CERTIFICATES AS A CHILDCARE WORKER.</t>
  </si>
  <si>
    <t>P-500-22270-495257</t>
  </si>
  <si>
    <t>BAKER, PASTRY CHEF</t>
  </si>
  <si>
    <t>High school graduate and had completed technical skills education on Baking &amp; Pastry. Must have a minimum of 1-year proven work experience as a Baker or Pastry Chef. Must have a specific and strong knowledge of pastries, desserts, and bread types, ingredients measurements, and baking methods. Can work independently on a fast-paced environment. Ability to keep the bakeshop organized, stocked, and clean. Willing to work on flexible hours including holidays and weekends. Must have own transportation to &amp; from work. All applicants must be able to secure the CNMI Food Handlers Permit and CNMI drivers license. All applicants must be able to secure the CNMI drivers license. All applicants must attached resume, copy of diploma, education certificates, employment certification, and other related documents. Background checks and drug testing may be required during or prior to employment to all applicants.</t>
  </si>
  <si>
    <t>P-500-22270-495403</t>
  </si>
  <si>
    <t>COMPUTER TECHNOLOGY</t>
  </si>
  <si>
    <t xml:space="preserve">With Certificate of Employment as Graphic Designer to be applied equally for both CW-1 &amp; US Citizen. </t>
  </si>
  <si>
    <t>P-500-22270-495404</t>
  </si>
  <si>
    <t>Bartender</t>
  </si>
  <si>
    <t>High school diploma or GED. Must have at least twelve (12) months prior work experience as a Bartender. Must have or be able to obtain a valid Food Handler Certificate and Alcoholic Beverage License card. Must be able to work nights, weekends, holidays, and during inclement weather. Must be able to lift at least 15-pound items regularly.</t>
  </si>
  <si>
    <t>Bartenders</t>
  </si>
  <si>
    <t>P-500-22270-495416</t>
  </si>
  <si>
    <t>Experience as a Backhoe,  Excavator , Grader Or Pay Loader Operator</t>
  </si>
  <si>
    <t xml:space="preserve">Operating Engineers and Other Construction Equipment Certificate.  12 Months Work Experience . </t>
  </si>
  <si>
    <t>P-500-22270-495422</t>
  </si>
  <si>
    <t>Baker, Pastry Chef</t>
  </si>
  <si>
    <t>High school graduate and had completed vocational course on Baking &amp; Pastry. Must have a minimum of 1-year proven work experience as a Baker or Pastry Chef. Must have a specific and strong knowledge of pastries, desserts, and bread types, ingredients measurements, and baking methods. Can work independently on a fast-paced environment. Ability to keep the bakeshop organized, stocked, and clean. Willing to work on flexible hours including holidays and weekends. Must have own transportation to &amp; from work. All applicants must be able to secure the CNMI Food Handlers Permit and CNMI drivers license. All applicants must be able to secure the CNMI drivers license. All applicants must attached resume, copy of diploma, education certificates, employment certification, and other related documents. Background checks and drug testing may be required during or prior to employment to all applicants.</t>
  </si>
  <si>
    <t>P-500-22270-495423</t>
  </si>
  <si>
    <t>HAIRDRESSERS, HAIR STYLIST, COSMETOLOGIST</t>
  </si>
  <si>
    <t>Knowledge of principles and processes for providing customer and personal services. This includes customer needs assessment, meeting quality standards for services, and evaluation of customer satisfaction.
Knowledge of principles and methods for showing, promoting, and selling products or services.
Knowledge of what tools to use upon customers requested services. Previous work-related skill, knowledge, and experience is required for these occupation.</t>
  </si>
  <si>
    <t>P-500-22270-495431</t>
  </si>
  <si>
    <t>Butcher, Meat Cutter</t>
  </si>
  <si>
    <t>High School graduate. Minimum of 1 year work related experience. Familiar with beef &amp; pork meat cuts and pricing. Specialized knowledge in slaughtering animals, meat cutting standard or premium cuts for marketing and wrapping meats. Must have knowledge in basic arithmetic, invoicing, petty cash reconciliation and other monetary transactions. Must be honest, thrust worthy and has no criminal or theft records. Willing to work flexible hours including holidays and weekends. Can work under less supervision and must be able to meet work deadlines. Must be physically fit to be able to handle all kinds of strenuous work. All applicants must be able to secure the CNMI drivers license and Food Handlers Certificate. All applicants must attached resume, copy of diploma, education certificates, employment certification, and other related documents. Background checks and drug testing may be required during or prior to employment to all applicants.</t>
  </si>
  <si>
    <t>Butchers and Meat Cutters</t>
  </si>
  <si>
    <t>P-500-22270-495445</t>
  </si>
  <si>
    <t>COMPUTER SUPPORT SPECIALIST</t>
  </si>
  <si>
    <t>A graduate of 4 years course in a Bachelors degree, preferably a computer science course. Must obtain 2 years of experience with excellent knowledge and oversee the daily performance of computer systems. Answer user inquiries regarding computer software or hardware operation to resolve the problem.</t>
  </si>
  <si>
    <t>Computer User Support Specialists</t>
  </si>
  <si>
    <t>P-500-22270-495454</t>
  </si>
  <si>
    <t>BOOKKEEPING</t>
  </si>
  <si>
    <t xml:space="preserve">A graduate of 2 years course in Accounting Associates or Business Administration Education, Experience and skill required: Minimum of two (2) years responsible in accounting or bookkeeping experience including accounts payable, accounts receivable, payroll ledger and financial reports. 
</t>
  </si>
  <si>
    <t>P-500-22270-495460</t>
  </si>
  <si>
    <t>BUILDING MAINTENANCE AND REPAIRER</t>
  </si>
  <si>
    <t>Must have a High School/GED diploma or equivalent. Must have at least 1 year work experience and able to repair or maintain building property using hand or power tools. Duties may involve pipe fitting; boiler making; insulating; welding; machining; carpentry; repairing electrical or mechanical equipment; installing, aligning, and balancing new equipment; and repairing buildings, floors, or stairs. Perform general cleaning duties of buildings or properties. Paint or repair roofs, windows, doors, floors, woodwork, plaster, drywall, or other parts of building structures. Operate cutting torches or welding equipment to cut or join metal parts. Record type and cost of maintenance or repair work.</t>
  </si>
  <si>
    <t>P-500-22270-495467</t>
  </si>
  <si>
    <t>Maids &amp; Housekeeping Worker</t>
  </si>
  <si>
    <t>Must have a High School/GED diploma or equivalent. Must obtain no more than 3 months of work experience. Perform any combination of light cleaning duties to maintain private households or commercial establishments, such as business offices, in a clean and orderly manner. Duties may include mopping, sweeping, dusting on the ground, vacuuming and any other related maid and home and business establishment chores as assigned.</t>
  </si>
  <si>
    <t>P-500-22270-495474</t>
  </si>
  <si>
    <t>Landscaping worker</t>
  </si>
  <si>
    <t>Qualified applicants must be able to landscape or maintain grounds of property using hand or power tools. Must obtain at least 3 months work of experience. Mix and spray or spread fertilizers or insecticides onto grass, scrub and trees, provide proper upkeep of sidewalks, driveways, parking lots, planters and other ground features and perform other related duties assigned.</t>
  </si>
  <si>
    <t>P-500-22270-495478</t>
  </si>
  <si>
    <t>FOOD SERVICE SUPERVISOR</t>
  </si>
  <si>
    <t>Must have a High School/GED diploma or equivalent. Must obtain no more than 12 months work experience with excellent ability to supervise workers engaged in preparing and serving food and nonalcoholic beverages. Communicate with customers regarding orders, comments, and complaints. Always maintain sanitation and perform other related duties as assigned</t>
  </si>
  <si>
    <t>First-Line Supervisors of Food Preparation and Serving Workers</t>
  </si>
  <si>
    <t>P-500-22270-495483</t>
  </si>
  <si>
    <t>FAST FOOD WORKER</t>
  </si>
  <si>
    <t xml:space="preserve">Must have a High School/GED diploma or equivalent. Must obtain at least 3 months work experience. Qualified applicants must be able to perform duties that combine preparing and serving food and nonalcoholic beverages. Communicate with customers regarding orders, comments, and complaints. Always maintain sanitation. </t>
  </si>
  <si>
    <t>P-500-22271-498000</t>
  </si>
  <si>
    <t>Maintenance or other related field</t>
  </si>
  <si>
    <t>P-500-22271-498237</t>
  </si>
  <si>
    <t>Cook or other related field</t>
  </si>
  <si>
    <t>Food Handler Certificate is required</t>
  </si>
  <si>
    <t>P-500-22271-498246</t>
  </si>
  <si>
    <t>Housekeeping or other related field</t>
  </si>
  <si>
    <t>P-500-22272-500690</t>
  </si>
  <si>
    <t>HOUSEKEEPER</t>
  </si>
  <si>
    <t>ABLE TO COMMUNICATE POLITELY AND PROFESSIONALLY TO CUSTOMERS; ABLE TO FOLLOW INSTRUCTIONS; DETAIL-ORIENTED; AGILE AND EFFICIENT; ABLE TO
MANAGE TIME WISELY; KNOWLEDGEABLE IN USING CLEANING SUPPLIES AND EQUIPMENT AS WELL AS LAUNDRY MACHINES</t>
  </si>
  <si>
    <t>P-500-22272-500710</t>
  </si>
  <si>
    <t>ABLE TO COMMUNICATE POLITELY AND PROFESSIONALLY TO CUSTOMERS; ABLE TO FOLLOW INSTRUCTIONS; DETAIL-ORIENTED; AGILE AND EFFICIENT; ABLE TO
MANAGE TIME WISELY; KNOWLEDGEABLE IN USING CLEANING SUPPLIES AND EQUIPMENT AS WELL AS LAUNDRY MACHINES.</t>
  </si>
  <si>
    <t>P-500-22272-500768</t>
  </si>
  <si>
    <t>Civil Engineering</t>
  </si>
  <si>
    <t>Civil Designer</t>
  </si>
  <si>
    <t>KNOWLEDGE OF DESIGN TECHNIQUES, TOOLS, AND PRINCIPLES INVOLVED IN PRODUCTION OF PRECISION TECHNICAL PLANS, BLUEPRINTS, DRAWINGS, AND MODELS.
KNOWLEDGE OF MATERIALS, METHODS, AND THE TOOLS INVOLVED IN THE CONSTRUCTION OR REPAIR OF HOUSES, BUILDINGS, OR OTHER STRUCTURES SUCH AS
HIGHWAYS AND ROADS. 3 YEARS OF DIRECT WORK WITH AUTOCAD AND CONSTRUCTION DRAWING PREPARATION. EXCELLENT INTERPERSONAL COMMUNICATION
SKILLS, BOTH WRITTEN AND VERBAL. MUST BE ABLE TO WORK FOR EXTENDED HOURS OR WORK DAYS</t>
  </si>
  <si>
    <t>Architectural and Civil Drafters</t>
  </si>
  <si>
    <t>P-500-22272-500895</t>
  </si>
  <si>
    <t>HOUSE MAINTENANCE</t>
  </si>
  <si>
    <t>Requires 24 consecutive months of relevant work experience to understand how to maintain the house and the process and method of strengthening the house in response to typhoon weather; have a basic understanding of house maintenance such as building wooden structures, floors, and partitions, and be able to use hand tools or Mechanical tools, sawing, grooving and sanding operations; know the working knowledge of tools, common utensils and equipment, and can adapt to work overtime at any time in case of burst water pipes.</t>
  </si>
  <si>
    <t>P-500-22272-502846</t>
  </si>
  <si>
    <t>At least 12 months working experience. High School Graduate. Must know how to make dough for making bread and other bakery products. Know how to make cake and different menu of bread making. Must know the techniques in mixing and desired amount of ingredients for making dough. Know how to operate and use baking equipment. Willing to work flexible schedule.</t>
  </si>
  <si>
    <t>P-500-22272-502881</t>
  </si>
  <si>
    <t>SALES MANAGER</t>
  </si>
  <si>
    <t>At least 12 months working experience. High school graduate. Must have working experience in fishing business. Know also how to make bait and repair fishing nets. Know all the type of fish to sell. Do outside sales in hotels and restaurants. Monitor sales and make sales summary report every day. Willing to work flexible schedule.</t>
  </si>
  <si>
    <t>P-500-22272-502899</t>
  </si>
  <si>
    <t>FISHERMAN</t>
  </si>
  <si>
    <t>At least 3 months working experience. Knowledge in swimming. Know how to operate fish finder equipment and GPS instrument. Knows how to dive in deep fishing catch. Willing to work flexible schedule.</t>
  </si>
  <si>
    <t>Fishing and Hunting Workers</t>
  </si>
  <si>
    <t>P-500-22273-503118</t>
  </si>
  <si>
    <t>DENTAL LAB TECHNICIAN</t>
  </si>
  <si>
    <t xml:space="preserve">U.S. AND FOREIGN WORKERS MUST HAVE CERTIFICATION FROM DENTAL TECHNICIAN COLLEGE. </t>
  </si>
  <si>
    <t>Dental Laboratory Technicians</t>
  </si>
  <si>
    <t>P-500-22273-503211</t>
  </si>
  <si>
    <t>Knowledge and skills on service orientation, critical thinking, coordination, active listening, oral expression and comprehension.  Establishing and maintaining interpersonal relationships.  Knowledge of principles and processes for providing customers and personal services.</t>
  </si>
  <si>
    <t>P-500-22273-503283</t>
  </si>
  <si>
    <t>Waiter, Waitress</t>
  </si>
  <si>
    <t>Food Handler Certificate is required.</t>
  </si>
  <si>
    <t>P-500-22273-503308</t>
  </si>
  <si>
    <t>Mechanical maintenance related field</t>
  </si>
  <si>
    <t>P-500-22273-503326</t>
  </si>
  <si>
    <t>Bakery or Pastry Arts</t>
  </si>
  <si>
    <t>Chefs and Head Cooks</t>
  </si>
  <si>
    <t>P-500-22273-503329</t>
  </si>
  <si>
    <t>Accountant or other related field</t>
  </si>
  <si>
    <t>P-500-22273-503335</t>
  </si>
  <si>
    <t>Sous Chef or Culinary Arts</t>
  </si>
  <si>
    <t>P-500-22273-503357</t>
  </si>
  <si>
    <t>Culinary or other related field</t>
  </si>
  <si>
    <t>P-500-22273-503363</t>
  </si>
  <si>
    <t>Pastry and Bakery Arts</t>
  </si>
  <si>
    <t>P-500-22274-505619</t>
  </si>
  <si>
    <t>TOUR GUIDE</t>
  </si>
  <si>
    <t>NO SPECIAL SKILLS REQUIRED</t>
  </si>
  <si>
    <t>P-500-22275-505773</t>
  </si>
  <si>
    <t xml:space="preserve">MUST HAVE 2 YEARS WORK EXPERIENCE AS A CHINESE CUISINE COOK
</t>
  </si>
  <si>
    <t>P-500-22275-505774</t>
  </si>
  <si>
    <t>ACCOUNTING/FINANCIAL MAJOR(S)</t>
  </si>
  <si>
    <t>Proven accounting experience, preferably as an accounts receivable clerk or accounts payable clerk. Must have enough knowledge about basic accounting principles &amp; procedures.</t>
  </si>
  <si>
    <t>Skilled accounting clerk to perform variety of accounting, bookkeeping and financial tasks. Proven accounting experience, preferably as an Account Receivable or Accounts Payable Clerk. Familiarity with Book Keeping and  Accounting Procedures. Competency in MS Office, data bases and Accounting Software. Accuracy and attention to detail. Aptitude for numbers. Ability to perform filing and record keeping tasks. Data entry and word processing skills. Well organized. Must be able to speak and understand basic Japanese Language. Must be Associates Degree. College Graduate or relevant certification/s is a plus. Must have at least 12 months to 24 months of experience including On the Job experience and informal training with experienced workers. Must be able to understand weekly schedule. Available to work flexible hours that may include early mornings, evenings, weekends and/or holidays.</t>
  </si>
  <si>
    <t>P-500-22275-505775</t>
  </si>
  <si>
    <t>WAITER/WAITRESS</t>
  </si>
  <si>
    <t xml:space="preserve">Must be hardworking. Must have 12 months work experience as a Waiter/Waitress
</t>
  </si>
  <si>
    <t>Waiters and Waitresses</t>
  </si>
  <si>
    <t>P-500-22276-505784</t>
  </si>
  <si>
    <t>Must have 12 months working experience as airconditioning technician in addition to the technical skills obtain through work experience, certain skills and personal qualities. Knowledge of machine and tools usage, providing assessment, meeting quality standards for service and evaluation of customer satisfaction. Be articulate and can meet demands on a busy schedule and can easily lift up to 50 pounds to carry and maneuver heavy items either with help or appropriate devices.</t>
  </si>
  <si>
    <t>P-500-22276-505806</t>
  </si>
  <si>
    <t>Culinary</t>
  </si>
  <si>
    <t>P-500-22276-505809</t>
  </si>
  <si>
    <t>P-500-22276-506518</t>
  </si>
  <si>
    <t>ACCOUNTING OR ACCTG MANAGEMENT</t>
  </si>
  <si>
    <t>ACCOUNTING OFFICER</t>
  </si>
  <si>
    <t>12 MONTHS EXPERIENCE AS ACCOUNTING OFFICER</t>
  </si>
  <si>
    <t>P-500-22277-508312</t>
  </si>
  <si>
    <t xml:space="preserve">HUMAN RESOURCES OR RELATED FIELD </t>
  </si>
  <si>
    <t>APPLICANT MUST HAVE AT LEAST 6 MONTHS WORK EXPERIENCE IN HUMAN RESOURCES OR RELATED FIELD. APPLICANT MUST HAVE AN ASSOCIATE DEGREE. APPLICANT MUST HAVE THE SKILLS AND KNOWLEDGE IN UNDERSTANDING OF HUMAN RESOURCE PRINCIPLES, PRACTICES AND PROCEDURES. APPLICANT MUST HAVE THE ABILITY IN CONDUCTING PERSONNEL RECRUITMENT, SELECTION, TRAINING, LABOR RELATIONS AND NEGOTIATION AND PERSONNEL INFORMATION SYSTEMS.</t>
  </si>
  <si>
    <t>P-500-22277-508319</t>
  </si>
  <si>
    <t>Tour Guide</t>
  </si>
  <si>
    <t xml:space="preserve">MINIMUM 12 MONTHS EXPERIENCE AS TOUR GUIDE. MUST BE FAMILIAR OF PLACES WHERE TOURIST LIKE TO VISIT AND KNOWLEDGEABLE OF HISTORIC EVENTS OF SUCH PLACES. CAN UNDERSTAND AND SPEAK CHINESE LANGUAGE
 </t>
  </si>
  <si>
    <t>P-500-22277-510763</t>
  </si>
  <si>
    <t>CIVIL ENGINEERING TECHNICIANS</t>
  </si>
  <si>
    <t>DRIVER LICENSE WILL BE APPLIED EQUALLY TO US WORKERS AND CW-1 WORKERS.  CIVIL ENGINEERING TECHNICIANS AND CERTIFICATION</t>
  </si>
  <si>
    <t>P-500-22277-510812</t>
  </si>
  <si>
    <t>EXCAVATING AND LOADING MACHINE OPERATORS</t>
  </si>
  <si>
    <t>DRIVER LICENSE FOR 
US CITIZENS/CW-1 APPLICANTS.  MUST HAVE ONE (1) YEAR EXPERIENCE AND CERTIFICATION.</t>
  </si>
  <si>
    <t>Excavating and Loading Machine and Dragline Operators, Surface Mining</t>
  </si>
  <si>
    <t>P-500-22277-510898</t>
  </si>
  <si>
    <t>WELDING, SOLDERING AND BRAZING MACHINE OPERATOR</t>
  </si>
  <si>
    <t>DRIVER LICENSE REQUIRED FOR ALL US CITIZENS/CW-1 APPLICANTS. MUST HAVE ONE (1) DOCUMENTED EXPERIENCE AND CERTIFICATION.</t>
  </si>
  <si>
    <t>Welding, Soldering, and Brazing Machine Setters, Operators, and Tenders</t>
  </si>
  <si>
    <t>P-500-22277-510909</t>
  </si>
  <si>
    <t>CONVEYORS OPERATORS AND TENDERS</t>
  </si>
  <si>
    <t>Driv er License for US Citizens/CW-1 applicants.  Must have three (3) months documented experience in training/certification.</t>
  </si>
  <si>
    <t>Conveyor Operators and Tenders</t>
  </si>
  <si>
    <t>P-500-22278-510919</t>
  </si>
  <si>
    <t>HOUSEHOLD WORKS</t>
  </si>
  <si>
    <t>Must have 12 months of household work experience, and has an employment certification as Maid or Household worker.</t>
  </si>
  <si>
    <t>Cooks, Private Household</t>
  </si>
  <si>
    <t>P-500-22278-510924</t>
  </si>
  <si>
    <t>MOBILE HEAVY EQUIPMENT MECHANICS</t>
  </si>
  <si>
    <t>Driver License required for all US Citizens/CW-1 applicants.  Must have one (1) year documented expierence and training/certification</t>
  </si>
  <si>
    <t>P-500-22278-510979</t>
  </si>
  <si>
    <t>BOOKKEEPER</t>
  </si>
  <si>
    <t>KNOWLEDDGE OF GENERAL ACCOUNTING PRINCIPLES. ANALYTICAL, COMMUNICATION AND COMPUTER SKILLS. UNDERSTANDING OF MATHEMATICS AND ACCOUNTING AND FINANCIAL PROCESSESS. KNOWLEDGE OF BOOKKEEPING SOFTWARE. AT LEAST 24 MONTHS OF BOOKKEEPING EXPERIENCE , PREFERABLY WITHIN A BUSINESS SERVICES ENVIRONMENT. APPLICANTS MUST PASS SKILL TEST DURING THE APPLICATION PROCESS (TOTAL PASSING SCORE IS 89%) THE SKILL TESTING AND COMPREHENSION EXAM ARE REQUIRED AND EQUALLY OF BOTH US AND FOREIGN WORKERS. COMMUNICATION SKILLS, BOTH VERBAL AND WRITTEN ATTENTION TO DETAIL AND ACCURACY OF WORK.</t>
  </si>
  <si>
    <t>P-500-22278-511017</t>
  </si>
  <si>
    <t>Withdrawn</t>
  </si>
  <si>
    <t>Engineering Related Courses</t>
  </si>
  <si>
    <t>Electrical or Mechanical Engineering Technician, Architectural or Engineering Related Job</t>
  </si>
  <si>
    <t>Knowledge of electrical code and best practices.  Ability to read blueprints and technical diagrams.  Proficient in Microsoft Word and Excel.  Computer-aided design CAD software.  AUTODESK AUTO CAD 3D.  Experience with basic hand and power tools.  Strong analytical and problem-solving skills.  Physically able to meet requirements of the job including, working in confined spaces, lifting heavy equipment, and working at elevated heights.</t>
  </si>
  <si>
    <t>P-500-22279-513350</t>
  </si>
  <si>
    <t>Accounting or Finance</t>
  </si>
  <si>
    <t>Accounting Assistant or Bookkeeper</t>
  </si>
  <si>
    <t>Education: Associate's degree major in Accounting or Finance.  Work experience: two (2) years work experience as Accounting Assistant or Bookkeeper preferably in the airline industry. Skilled in the use of various operating systems. SAP R3 FICO, invoicing system, Microsoft Internet Explorer, Microsoft Office, Microsoft Windows, Microsoft PowerPoint, Microsoft Excel, and Microsoft Word. Experience in Airline industry. Must be able to work under time pressure and can work flexible hours.</t>
  </si>
  <si>
    <t>P-500-22279-513360</t>
  </si>
  <si>
    <t>Works as repair and maintenance worker</t>
  </si>
  <si>
    <t>P-500-22279-513398</t>
  </si>
  <si>
    <t>Civil Engineer</t>
  </si>
  <si>
    <t>Work Certificate is required for both US Workers and CW-1 Workers</t>
  </si>
  <si>
    <t>P-500-22279-513407</t>
  </si>
  <si>
    <t>Sales Engineers</t>
  </si>
  <si>
    <t>Work Certificate is required for US Workers and CW-1 workers</t>
  </si>
  <si>
    <t>P-500-22279-513410</t>
  </si>
  <si>
    <t>Computer Engineer</t>
  </si>
  <si>
    <t>Sales Engineer</t>
  </si>
  <si>
    <t>Work Certificate is required for both US workers and CW-1 Workers.</t>
  </si>
  <si>
    <t>P-500-22279-513449</t>
  </si>
  <si>
    <t>24 MONTHS OF RELATED EXPERIENCED</t>
  </si>
  <si>
    <t>2 YEARS OF EXPERIENCE AS A SCUBA DIVING INSTRUCTOR. MUST BE A PADI OR NAUI CERTIFIED, LICENSED SCUBA DIVING INSTRUCTOR. MUST HAVE CURRENT CERTIFICATION IN RESCUE TECHNIQUES, CPR AND FIRST AID.</t>
  </si>
  <si>
    <t>P-500-22279-513455</t>
  </si>
  <si>
    <t>HEAVY AND TRACTOR-TRAILER TRUCK DRIVERS</t>
  </si>
  <si>
    <t>Driver License for all
US Citizens/CW-1 Applicants.  Must have one 
(1) year documented experience and certification.</t>
  </si>
  <si>
    <t>Heavy and Tractor-Trailer Truck Drivers</t>
  </si>
  <si>
    <t>P-500-22279-513458</t>
  </si>
  <si>
    <t>1 YEAR OF EXPERIENCE. ABILITY TO GET WELL WITH PEOPLE, ABILITY TO WORK UNDER PRESSURE AND COPE WITH EMERGENCIES. KNOWLEDGE RELATED TO TRAVEL DOCUMENTS, MEDICAL INSURANCE, AIRLINE TICKETING AND LUGGAGE RULES, HOTEL &amp; ACCOMMODATIONS RULES. KNOWLEDGE RELTAED TO HISTORY, ARTS &amp; CULTURES, PEOPLE, TOURISTS DESTINATIONS, GEOGRAPHY &amp; FOOD ABOUT DESTINATIONS IN ALL THE COUNTRY TRAVEL.</t>
  </si>
  <si>
    <t>Travel Guides</t>
  </si>
  <si>
    <t>P-500-22279-513474</t>
  </si>
  <si>
    <t>GENERAL</t>
  </si>
  <si>
    <t>FIRST LINE SUPERVISOR</t>
  </si>
  <si>
    <t>First-Line Supervisors of Non-Retail Sales Workers</t>
  </si>
  <si>
    <t>P-500-22280-516145</t>
  </si>
  <si>
    <t>Reguler</t>
  </si>
  <si>
    <t>Auto repair shop work for 6 months.</t>
  </si>
  <si>
    <t>have working experience as an automotive and watercraft service attendant for at least 6 months.</t>
  </si>
  <si>
    <t>P-500-22280-516235</t>
  </si>
  <si>
    <t>BARBER AND ALL AROUND BEAUTICIAN</t>
  </si>
  <si>
    <t>Previous work-related skill, knowledge, or experience is required for this occupation.</t>
  </si>
  <si>
    <t>P-500-22280-516251</t>
  </si>
  <si>
    <t>First-Line Supervisors of Office and Administrative Support Workers</t>
  </si>
  <si>
    <t>P-500-22280-516266</t>
  </si>
  <si>
    <t>FACILITIES TECHNICIAN, MAINTENANCE WORKER</t>
  </si>
  <si>
    <t>KNOWLEDGE OF MACHINES AND TOOLS, INCLUDING THEIR DESIGNS, USES, REPAIR, AND MAINTENANCE. KNOWLEDGE OF MATERIALS, METHODS, AND THE TOOLS
INVOLVED IN THE CONSTRUCTION OR REPAIR OF HOUSES, BUILDINGS, OR OTHER STRUCTURES. ABILITY TO FOLLOW INSTRUCTIONS FROM SUPERVISORS OR SENIOR
MAINTENANCE WORKERS. KNOWLEDGE OF GENERAL CARPENTRY AND REPAIR. ABILITY TO USE HAND TOOLS AND POWER TOOLS.
EXCELLENT ORGANIZATIONAL AND TIME MANAGEMENT SKILLS.</t>
  </si>
  <si>
    <t>P-500-22280-516281</t>
  </si>
  <si>
    <t>N./A</t>
  </si>
  <si>
    <t>MAINTENANCE ASSISTANT</t>
  </si>
  <si>
    <t>HIGH SCHOOL DIPLOMA WITH 12 MONTHS RELATED WORK EXPERIENCE. KNOWLEDGE OF GENERAL MAINTENANCE PROCESSES AND METHODS. WORKING KNOWLEDGE
OF TOOLS, COMMON APPLIANCES AND DEVICES.
GOOD PHYSICAL CONDITION AND STRENGTH WITH A WILLINGNESS TO WORK OVERTIME. BASIC UNDERSTANDING OF ELECTRICAL, PLUMBING, AND CARPENTRY</t>
  </si>
  <si>
    <t>Helpers, Construction Trades, All Other</t>
  </si>
  <si>
    <t>P-500-22280-516317</t>
  </si>
  <si>
    <t>Pastry Chef, Baker</t>
  </si>
  <si>
    <t>Certification of program completion for Pasty Cook/Baker</t>
  </si>
  <si>
    <t>P-500-22280-516324</t>
  </si>
  <si>
    <t>P-500-22280-516340</t>
  </si>
  <si>
    <t>Regular</t>
  </si>
  <si>
    <t>Working as a sewing  machine operator or related job for 6 months</t>
  </si>
  <si>
    <t>Sewing Machine Operators</t>
  </si>
  <si>
    <t>P-500-22281-518637</t>
  </si>
  <si>
    <t>MUSICIAN/SINGER</t>
  </si>
  <si>
    <t>Must know how to play musical instrument like electric guitar/guitars, piano and drums.  Know how to read notes. Know how to perform for live audiences and recordings.  With 24-months of work related experiences as a Musician.</t>
  </si>
  <si>
    <t>Musicians and Singers</t>
  </si>
  <si>
    <t>P-500-22281-518670</t>
  </si>
  <si>
    <t>General Manager or related</t>
  </si>
  <si>
    <t>AT LEAST A FOUR (4) YEARS BACHELORS DEGREE. AT LEAST FOUR (4) YEARS OF MANAGERIAL EXPERIENCE IN MEDIUM TO LARGE-SIZED CONSTRUCTION OR BUILDING MATERIALS / HARDWARE OR RELATED INDUSTRY AS A MANAGER IN GENERAL MANAGING COMPANY DAILY OPERATIONS. KNOWLEDGE AND EXPERIENCE OF BUSINESS AND MANAGEMENT PRINCIPLES INVOLVING STRATEGIC PLANNING, RESOURCE ALLOCATION, HUMAN RESOURCES MODELING, LEADERSHIP TECHNIQUE, PRODUCTION METHODS, AND COORDINATION OF PEOPLE AND RESOURCES AND HAVE A STRONG DECISION MAKING CAPABILITY. KNOWLEDGE AND EXPERIENCE OF PERSONNEL RECRUITMENT, SELECTION, TRAINING, LABOR RELATIONS AND NEGOTIATION, AND PERSONNEL INFORMATION SYSTEMS. RELATIVE KNOWLEDGE OF ACCOUNTING AND STATISTICS. UNDERSTAND, SPEAK AND WRITE BOTH IN ENGLISH AND CHINESE FLUENTLY. UNDERSTANDING MANDARIN AND CANTONESE CHINESE AND COMMUNICATE WELL WITH PROSPECTIVE CHINESE INVESTORS AND OTHER FOREIGN NATIONALITY AS WELL WITH THE ISLANDERS. ABILITY AND GOOD PRESENTATION SKILLS TO USE BOTH ORAL ENGLISH AND CHINESE TO PRESENT OR REPORT TO THE LOCAL GOVERNMENT DEPARTMENTS AND HEADQUARTERS (IN CHINA). OVERSEAS WORKING EXPERIENCE IS PREFERRED. KNOWLEDGE OF THE OVERSEAS MARKET, HAVE A PROFOUND UNDERSTANDING OF THE INDUSTRY DEVELOPMENT IS PREFERRED. HAVE THE ABILITY TO EXPAND OVERSEAS MARKETS AND THE ACUMEN TO EXPLORE NEW BUSINESS MARKETS. KNOWLEDGE AND EXPERIENCE OF PRINCIPLES AND PROCESSES FOR PROVIDING CUSTOMER AND PERSONAL SERVICES. GOOD COMPUTER SKILLS, PROFICIENT IN WORD, EXCEL, AND POWER POINT. GENERAL AND SENSITIVE FEELING OF MARKET AND ECONOMY, QUICKLY AND TIMELY REACTION FOR DEVELOPMENT OPPORTUNITY.</t>
  </si>
  <si>
    <t>P-500-22281-518671</t>
  </si>
  <si>
    <t>cook</t>
  </si>
  <si>
    <t>3 MONTHS OF WORKING EXPERIENCE AS A COOK. EXPERIENCE IN USING CUTTING TOOLS AND COOKWARE. KNOWLEDGE OF VARIOUS COOKING PROCEDURES AND METHODS. ABILITY TO FOLLOW ALL SANITATION PROCEDURES. ACTIVE LISTENING AND ORAL COMPREHENSION. KNOWLEDGE OF COOKING CHINESE STYLE FAST FOOD WILL BE AN ADVANTAGE.</t>
  </si>
  <si>
    <t>Cooks, Fast Food</t>
  </si>
  <si>
    <t>P-500-22281-518672</t>
  </si>
  <si>
    <t>Heavy Equipment Operator</t>
  </si>
  <si>
    <t xml:space="preserve">FAMILIAR WITH CONSTRUCTION MATERIALS WITH AT LEAST 12 MONTHS WORKING EXPERIENCE AS A HEAVY EQUIPMENT OPERATOR. RELATED SKILLS AND KNOWLEDGE ARE REQUIRED TO THIS POSITION AND MUST HAVE A VALID LOCAL DRIVER LICENSE WHEN OPERATING OR DRIVING THE DELIVERY TRUCK. MUST HAVE A POTENTIAL TO ACKNOWLEDGE EASILY FROM THE SUPERVISOR INSTRUCTION CONCERNING WHEN AND WHERE THE DELIVERY WILL OCCUR. MUST HAVE A PROMISING EXPERIENCE FOR SAFETY DRIVING WHEN SOME EMERGENCY OR SPECIAL CONDITIONS OCCUR. MUST HAVE BROAD KNOWLEDGE OF LOADING AND UNLOADING CONSTRUCTION MATERIALS, EMERGENCY BOOM TRUCK REPAIRING AND SAFETY HOISTING OF HEAVY EQUIPMENT WITH HEAVY LOADING. UNDERSTANDING AND SPEAKING BOTH ENGLISH, CHINESE, OR FILIPINO LANGUAGE TO COMMUNICATE WITH LOCAL AND FOREIGN CUSTOMERS WARMLY IS PREFERABLE. WILLING TO WORK ON FLEXIBLE HOURS EVEN AT WEEKEND OR HOLIDAYS. </t>
  </si>
  <si>
    <t>P-500-22281-518673</t>
  </si>
  <si>
    <t>Maids or Housekeeping attendant</t>
  </si>
  <si>
    <t>Ability to use housekeeping tools and materials.</t>
  </si>
  <si>
    <t>P-500-22281-518717</t>
  </si>
  <si>
    <t>events designer</t>
  </si>
  <si>
    <t>12 months experience as Set event designer
Certificate in basic events design, planning or coordination</t>
  </si>
  <si>
    <t>Set and Exhibit Designers</t>
  </si>
  <si>
    <t>P-500-22282-518803</t>
  </si>
  <si>
    <t>Know how to weld, TIG and MIG certified</t>
  </si>
  <si>
    <t>Structural Metal Fabricators and Fitters</t>
  </si>
  <si>
    <t>P-500-22282-518947</t>
  </si>
  <si>
    <t>COMMERCIAL CLEANER</t>
  </si>
  <si>
    <t>Must have high school diploma and minimum 6 months work experience.</t>
  </si>
  <si>
    <t>P-500-22283-518954</t>
  </si>
  <si>
    <t>CUSTOMER SERVICE OCCUPATIONS, SERVICE CREW</t>
  </si>
  <si>
    <t>-ACTIVE LISTENING - PROVIDE FULL ATTENTION TO WHAT OTHER PEOPLE ARE SAYING, TAKING TIME TO UNDERSTAND THE POINTS BEING MADE, ASKING
APPROPRIATE QUESTIONS, AND NOT INTERRUPTING INAPPROPRIATELY.
- SERVICE ORIENTED - ACTIVELY LOOKING FOR WAYS TO ASSIST OTHERS.
- EFFECTIVE COMMUNICATION - RESPOND IN A CLEAR AND PLEASANT TONE WHEN CONVEYING INFORMATION.
-SOCIAL PERCEPTION - BE AWARE OF OTHER'S REACTIONS AND UNDERSTANDING THE SITUATION AT HAND.
-COORDINATED - ABLE TO ADJUST TO DIFFERENT REACTIONS AND NEEDS.
-BE ABLE AND WILLING TO WORK IN FLEXIBLE SHIFTS, DAYS, EVENINGS, WEEKENDS AND HOLIDAYS.</t>
  </si>
  <si>
    <t>P-500-22283-518957</t>
  </si>
  <si>
    <t>B.S MAJOR IN ACCOUNTING</t>
  </si>
  <si>
    <t>ACCOUNTING/FINANCE</t>
  </si>
  <si>
    <t>P-500-22283-518959</t>
  </si>
  <si>
    <t>BARTENDING</t>
  </si>
  <si>
    <t>-KNOWLEDGE OF APPLICABLE LAWS AND REGULATIONS.
-KNOWLEDGE IN MIXING TRADITIONAL AND CREATIVE COCKTAILS.
-GREAT CUSTOMER SERVICE AND SOCIAL PERCEPTIVENESS.
-ABILITY TO EVALUATE CUSTOMER SATISFACTION AND RESPONSIVENESS.
-ABILITY TO ENFORCE COMPANY POLICIES REGARDING THE CONSUMPTION OF ALCOHOL.
ACCOUNTABLE IN MAINTAINING INVENTORY AND PROCESSING PAYMENTS.
-PHYSICAL ABILITY TO STAND AND WALK FOR LONG PERIODS OF TIME, PUSHING, LIFTING UP TO 30LBS, BENDING AND REACHING.
-BE ABLE AND WILLING TO WORK IN FLEXIBLE SHIFTS, DAYS, EVENING, NIGHT, WEEKEND AND HOLIDAYS</t>
  </si>
  <si>
    <t>P-500-22283-518960</t>
  </si>
  <si>
    <t>COOK HELPER, COOK</t>
  </si>
  <si>
    <t>-KNOWLEDGE IN SUPPLIES, EQUIPMENT AND INVENTORY CONTROL.
-ABLE TO FOLLOW ROUTINE VERBAL AND WRITTEN INSTRUCTIONS.
-ABLE TO UNDERSTAND AND FOLLOW SAFETY PROCEDURES.
-ABLE TO SAFELY USE CLEANING EQUIPMENT AND SUPPLIES.
-ABLE TO LIFT AND MANIPULATE HEAVY ITEMS OF UP TO 50LBS.
-KNOWLEDGE OF FOOD SERVICE LINE SET-UP AND TEMPERATURE REQUIREMENTS.
-ABLE TO MULTI-TASK AND WORK UNDER PRESSURE.
-ABLE AND WILLING TO WORK IN FLEXIBLE SHIFTS, DAYS AND EVENING, WEEKENDS AND HOLIDAYS</t>
  </si>
  <si>
    <t>P-500-22283-518962</t>
  </si>
  <si>
    <t>FACILITY MAINTENANCE</t>
  </si>
  <si>
    <t>-EQUIPMENT MAINTENANCE-PERFORMING ROUTINE MAINTENANCE ON EQUIPMENT AND DETERMINING WHEN AND WHAT KIND OF MAINTENANCE IS NEEDED.
-REPAIRING-REPAIRING MACHINES OR SYSTEMS USING THE NEEDED TOOLS.
-TROUBLESHOOTING-DETERMINING CAUSES OF OPERATION ERRORS AND DECIDING WHAT TO DO ABOUT IT.
-CRITICAL THINKING-USING LOGIC AND REASONING TO IDENTIFY THE STRENGTHS AND WEAKNESSES OF ALTERNATIVE SOLUTIONS, CONCLUSIONS OR APPROACHES
TO PROBLEMS.
-EQUIPMENT SELECTION- DETERMINING THE KIND OF TOOLS AND EQUIPMENT NEEDED TO DO A JOB.
-REQUIRES STANDING FOR EXTENDED PERIODS, WALKING, PUSHING, LIFTING UP TO 50LBS, BENDING AND REACHING, CLIMBING, STOOPING, KNEELING OR
CROUCHING.
-MUST BE FLEXIBLE TO WORK ALL SHIFTS, WEEKENDS AND HOLIDAYS, AND MAY BE REQUIRED TO WORK OVERTIME ON OCCASION WHEN THE DEPARTMENT IS SHORT
OF STAFF.</t>
  </si>
  <si>
    <t>P-500-22283-518964</t>
  </si>
  <si>
    <t>CUSTOMER SERVICE OPERATION</t>
  </si>
  <si>
    <t xml:space="preserve">PROFESSIONAL APPEARANCE. ABLE TO LIFT AND CARRY 30
LBS. PROBLEM SOLVING SKILLS, STAMINA TO STAND FOR LONG PERIODS, ABILITY TO STAY CALM UNDER PRESSURE, ORGANIZED AND DETAILED ORIENTED, ABLE TO
WORK FLEXIBLE SCHEDULES, WEEKENDS AND HOLIDAYS.
</t>
  </si>
  <si>
    <t>P-500-22283-518965</t>
  </si>
  <si>
    <t>HOUSEKEEPING</t>
  </si>
  <si>
    <t>EXCELLENT WORKING KNOWLEDGE OF CLEANING APPLIANCES AND THEIR OPERATIONS AND PROPER USE OF CLEANING AGENTS. ATTENTION TO DETAIL. PHYSICAL
STRENGTH AND STAMINA TO WORK EXTENDED PERIODS. ABILITY TO MAINTAIN CONFIDENTIALITY. BE ABLE AND WILLING TO WORK IN FLEXIBLE SHIFTS, WEEKENDS
AND HOLIDAYS.</t>
  </si>
  <si>
    <t>P-500-22283-518966</t>
  </si>
  <si>
    <t xml:space="preserve">FIRST AID AND CPR CERTIFICATION </t>
  </si>
  <si>
    <t xml:space="preserve">LIFEGUARD, CUSTOMER SERVICE </t>
  </si>
  <si>
    <t>ABILITY TO EVALUATE WATER CONDITIONS AT THE BEACH, POOLS OR RIVER TO IDENTIFY ANY POTENTIAL HAZARDS OR DANGERS.
-ABILITY TO EVALUATE AND JUDGE THE CHANGING DYNAMICS OF GUESTS TAKING PART IN AQUATIC ACTIVITIES TO IMMEDIATELY DETERMINE THEIR STRENGTHS AND
WEAKNESSES, AS WELL AS THREATS TO THEIR SAFETY.
-KNOWLEDGE OF SAFETY POLICIES, ON-SITE RULES AND OPERATIONAL PROCEDURES.
-KNOWLEDGE OF TECHNIQUES AND METHODS FOR PROVIDING MEDICAL SERVICES IN THE EVENT OF AN EMERGENCY.
-HAVE A VALID FIRST AID AND CPR CERTIFICATION, OTHERWISE MUST BE ABLE TO PASS ALL AMERICAN RED CROSS LIFEGUARD REQUIREMENTS (INCLUDING 300-
YARD CONTINUOUS SWIM TEST).
-EXCELLENT VERBAL COMMUNICATION AND CUSTOMER SERVICE SKILLS.
-PHYSICALLY FIT, GOOD SWIMMING ABILITIES, AND ABLE TO PERFORM PHYSICAL LABOR IN HARSH WEATHER CONDITIONS.
-ABILITY TO MOVE AND LIFT HEAVY FURNITURE AND EQUIPMENT.
-BE ABLE AND WILLING TO WORK IN FLEXIBLE SHIFTS, DAYS, EVENINGS, WEEKENDS AND HOLIDAYS.</t>
  </si>
  <si>
    <t>Lifeguards, Ski Patrol, and Other Recreational Protective Service Workers</t>
  </si>
  <si>
    <t>P-500-22283-518968</t>
  </si>
  <si>
    <t>FACILITY MAINTENANCE SUPERVISOR</t>
  </si>
  <si>
    <t xml:space="preserve">-HAVE KNOWLEDGE OF RELEVANT EQUIPMENT, POLICIES, PROCEDURES, AND STRATEGIES TO PROMOTE EFFECTIVE MAINTENANCE AND SECURITY OPERATIONS FOR
THE PROTECTION OF GUESTS AND HOTEL FACILITY IN GENERAL
-HAVE KNOWLEDGE AND UNDERSTANDING OF GENERAL BUILDING REPAIRS AND MAINTENANCE
-MUST BE FLEXIBLE TO WORK ALL SHIFTS, WEEKENDS AND HOLIDAYS, AND MAY BE REQUIRED TO WORK OVERTIME ON OCCASION WITH DEPARTMENT NEEDS
-REQUIRES STANDING FOR EXTENDED PERIODS, WALKING, PUSHING, LIFTING UP TO 50 LBS., BENDING AND REACHING, CLIMBING, STOOPING, KNEELING OR
CROUCHING. 
</t>
  </si>
  <si>
    <t>First-Line Supervisors of Helpers, Laborers, and Material Movers, Hand</t>
  </si>
  <si>
    <t>P-500-22283-518980</t>
  </si>
  <si>
    <t>6 months work experience required as waitress/waiter in a Chinese restaurant industry.</t>
  </si>
  <si>
    <t>P-500-22283-518981</t>
  </si>
  <si>
    <t>24 months work experience required as sales manager in restaurant industry.</t>
  </si>
  <si>
    <t>P-500-22283-518990</t>
  </si>
  <si>
    <t>BOOTH CASHIER</t>
  </si>
  <si>
    <t>SHOULD HAVE EXPERIENCED IN POKER ROOM CASHIERING. MUST HAVE KNOWLEDGE IN GAMING ROOM PROCEDURES ESPECIALLY IN COLLECTION.  SHOULD KNOW HOW TO WORK AS AVAILABLE BASED ON THE WORKLOAD. WILLING TO WORK MIDNIGHT SHIFT AS WELL AS OTHERS.</t>
  </si>
  <si>
    <t>Gambling Change Persons and Booth Cashiers</t>
  </si>
  <si>
    <t>P-500-22283-519027</t>
  </si>
  <si>
    <t>BOOKKEEPING, ACCOUNTING, AUDITING CLERK</t>
  </si>
  <si>
    <t xml:space="preserve">Must have 24-months of work-related experience as bookkeeping, accounting and auditing clerk. Must be at least associate degree. Proficient with Microsoft Office - Excel. With knowledge of financial accounting concepts and principles. Familiar with Peach Tree or Quick Books. Knowledge in performing any combination of routine calculation, posting pertaining to business transactions. No history or record of theft.
</t>
  </si>
  <si>
    <t>P-500-22283-520451</t>
  </si>
  <si>
    <t>Truck Driver</t>
  </si>
  <si>
    <t>NO</t>
  </si>
  <si>
    <t>P-500-22284-521182</t>
  </si>
  <si>
    <t>="Each salesman has their own area. They would leave the plant at 8 am and deliver to their scheduled deliveries or calls on that day. They would return for reloading and take their one-hour break. They would return to delivery again at 1 pm and return back to the plant at 5 pm or when deliveries are done."</t>
  </si>
  <si>
    <t>to familiarize with customer location</t>
  </si>
  <si>
    <t>Physically able to lift and deliver about 200 to 300 bottles of 5-gallon water daily.</t>
  </si>
  <si>
    <t>P-500-22284-521495</t>
  </si>
  <si>
    <t>HAIRSTYLIST</t>
  </si>
  <si>
    <t>HEALTH CERTIFICATE</t>
  </si>
  <si>
    <t>P-500-22284-523817</t>
  </si>
  <si>
    <t>Giving full attention to what other people are saying, taking time to understand the points being made, asking questions as appropriate, and not interrupting at inappropriate times. Talking to others to convey information effectively. Knowledge of principles and processes for providing customer and personal services. This includes customer needs assessment, meeting quality standards for services, and evaluation of customer satisfaction. Knowledge of principles and processes for providing customer and personal services. This includes customer needs assessment, meeting quality standards for services, and evaluation of customer satisfaction. Know how to use spreadsheet and word processing software.</t>
  </si>
  <si>
    <t>P-500-22284-523831</t>
  </si>
  <si>
    <t>Work as Bookkeeper</t>
  </si>
  <si>
    <t>MUST HAVE KNOWLEDGE AND POSSESS HANDS-ON EXPERIENCE ON THE USE OF ACCOUNTING SOFTWARE, SUCH AS PEACHTREE. KNOWLEDGEABLE WITH WORD AND
EXCEL.</t>
  </si>
  <si>
    <t>P-500-22284-523839</t>
  </si>
  <si>
    <t>Work as general maintenance and repairer</t>
  </si>
  <si>
    <t xml:space="preserve">WITH KNOWLEDGE OF MACHINES AND TOOLS, INCLUDING THEIR DESIGNS, USES, REPAIR, AND MAINTENANCE; WITH KNOWLEDGE OF MATERIALS, METHOD, AND
TOOLS USE IN THE REPAIR AND MAINTENANCE OF BUILDINGS AND HOUSES; WITH ABILITY TO PERFORM ROUTINE MAINTENANCE ON PROPERTY AND DETERMINING
THE APPROPRIATE METHOD OF MAINTENANCE NEEDED.
</t>
  </si>
  <si>
    <t>P-500-22285-523850</t>
  </si>
  <si>
    <t>Baker, Pastry Cook</t>
  </si>
  <si>
    <t>Monitoring/Assessing performance of yourself, other individuals, or organizations to make improvements or take corrective action. Giving full attention to what other people are saying, taking time to understand the points being made, asking questions as appropriate, and not interrupting at inappropriate times. Using logic and reasoning to identify the strengths and weaknesses of alternative solutions, conclusions, or approaches to problems.  Knowledge of raw materials, production processes, quality control, costs, and other techniques for maximizing the effective manufacture and distribution of goods.  Knowledge of principles and processes for providing customer and personal services. This includes customer needs assessment, meeting quality standards for services, and evaluation of customer satisfaction. The ability to listen to and understand information and ideas presented through spoken words and sentences. The ability to communicate information and ideas in speaking so others will understand. Know how to operate baking equipment. Inspecting equipment, structures, or materials to identify the cause of errors or other problems or defects.</t>
  </si>
  <si>
    <t>P-500-22285-523881</t>
  </si>
  <si>
    <t>Helper, Material Handler</t>
  </si>
  <si>
    <t>Using hands and arms in handling, installing, positioning, and moving materials, and manipulating things. Performing physical activities that require considerable use of your arms and legs and moving your whole body, such as climbing, lifting, balancing, walking, stooping, and handling materials. Using either control mechanisms or direct physical activity to operate machines or processes (not including computers or vehicles). Knowledge of machines and tools, including their designs, uses, repair, and maintenance.  The ability to use your abdominal and lower back muscles to support part of the body repeatedly or continuously over time without "giving out" or fatiguing.  The ability to exert maximum muscle force to lift, push, pull, or carry objects.</t>
  </si>
  <si>
    <t>Helpers--Production Workers</t>
  </si>
  <si>
    <t>P-500-22285-523932</t>
  </si>
  <si>
    <t>Knowledge of different kinds of dance such as Hip Hop, Contemporary, and Filipino Cultural dance as always requested by the CNMI Department of Cultural Affair or Marianas Visitor Agency on their special events.</t>
  </si>
  <si>
    <t>Choreographers</t>
  </si>
  <si>
    <t>P-500-22285-523933</t>
  </si>
  <si>
    <t>Janitors and Cleaners</t>
  </si>
  <si>
    <t>In addition to this list of basic cleaning skills, special knowledge or experience with cleaning supplies is a plus factor.</t>
  </si>
  <si>
    <t>P-500-22285-523934</t>
  </si>
  <si>
    <t>Dishwasher</t>
  </si>
  <si>
    <t>P-500-22285-523935</t>
  </si>
  <si>
    <t>Strongly familiar with different types of meats and their cooking times, well-versed in planning menus, establishing the size of food portions, estimating food requirements and cost, and ordering supplies, a strong background in handling kitchen functions such as supplies and inventory management, and cooking staff schedules and records. Able to maintain accurate inventory and records of food, supplies, and utensils.</t>
  </si>
  <si>
    <t>P-500-22285-523936</t>
  </si>
  <si>
    <t xml:space="preserve">Knowledge of cleaning and sanitation products, techniques, and methods. Knowledge of cleaning sensitive materials. Working knowledge of operating cleaning equipment. Physical stamina and mobility include the ability to reach, kneel and bend. </t>
  </si>
  <si>
    <t>P-500-22285-523938</t>
  </si>
  <si>
    <t>Maintenance and Repair General</t>
  </si>
  <si>
    <t>Technical knowledge in equipment maintenance, repairing, troubleshooting, equipment selection, or determining the kind of tools and equipment needed to do the job.</t>
  </si>
  <si>
    <t>P-500-22285-523968</t>
  </si>
  <si>
    <t>Maintenance Worker, Maintenance Mechanic</t>
  </si>
  <si>
    <t>KNOWLEDGE OF MACHINES AND TOOLS, INCLUDING THEIR DESIGNS, USES, REPAIR, AND MAINTENANCE. KNOWLEDGE OF MATERIALS, METHODS, AND THE TOOLS
INVOLVED IN THE ENGINES OR REPAIR OF PARTS, AND ELECTRICAL. ABILITY TO FOLLOW INSTRUCTIONS FROM SUPERVISORS OR SENIOR
MAINTENANCE WORKERS. ABILITY TO USE HAND TOOLS AND POWER TOOLS.
EXCELLENT ORGANIZATIONAL AND TIME MANAGEMENT SKILLS.</t>
  </si>
  <si>
    <t>P-500-22285-523984</t>
  </si>
  <si>
    <t>Maintenance and repairer worker</t>
  </si>
  <si>
    <t>PROVEN 12 MONTHS EXPERIENCE. CANDIDATE CAN FIX/REPAIR COMMERCIAL WASHERS AND DRYERS.CAN DO WELDING JOBS, PLASTERING, PAINTING AND
BLUSTERING TO MAKE SURE THE PLACE IS WELL MAINTAINED. CAN OPERATE REPAIRING POWER TOOLS.</t>
  </si>
  <si>
    <t>P-500-22285-523986</t>
  </si>
  <si>
    <t>MUST HAVE KNOWLEDGE TO USE TRACTOR AND TRUCK FOR LOADING OF GOODS. CANDIDATE MAY BE REQUIRED TO WORK UNDER THE SUN OR RAIN IF
NECESSARY</t>
  </si>
  <si>
    <t>Farmworkers and Laborers, Crop, Nursery, and Greenhouse</t>
  </si>
  <si>
    <t>P-500-22285-523997</t>
  </si>
  <si>
    <t>KNOWLEGEABLE TO USE AND OPERATE DIGITAL AND
MANUAL WASHING MACHINES AND DRYERS</t>
  </si>
  <si>
    <t>Laundry and Dry-Cleaning Workers</t>
  </si>
  <si>
    <t>P-500-22285-526503</t>
  </si>
  <si>
    <t>Operations Manager</t>
  </si>
  <si>
    <t>Proven 24 months experience as Operation Manager. Computer Literate.Must be able to work flexible days and flexible hours schedule including weekends and holidays if necessary. Must
have understanding and knowledge of health and safety standards of the business.</t>
  </si>
  <si>
    <t>P-500-22287-529355</t>
  </si>
  <si>
    <t>AIR CONDITIONING TECHNICIAN</t>
  </si>
  <si>
    <t>Must have at least 2 years of experience in the same position. must have knowledge of air conditioning or refrigeration unit maintenance, repair or installation for automobile, residences, commercial establishments. Must be resourceful and have troubleshooting and problem solving skills. Customer service, communication and interpersonal skills are a must. Applicants must be able to multi task and work under pressure. Applicant must be willing to work flexible time. Must be willing to adhere to supervision.</t>
  </si>
  <si>
    <t>P-500-22287-529363</t>
  </si>
  <si>
    <t>ACCOUNTING TECHNICIAN</t>
  </si>
  <si>
    <t>Must have a minimum of two years work experience in the same position handling multiple lines of business and a strong background in administrative services. Computer literate with
specialized knowledge in spreadsheets and accounting software (PeachTree, QuickBooks, MS Excel). Knowledgeable in preparation of tax returns, business and financial reports, billing and collections, payroll and budgeting duties. Must be able to maintain cooperative attitude under stressful circumstances. Applicant must be willing to work flexible time, even weekends or holidays if necessary especially to meet deadlines. Work hours are between 8:00am and 7:00pm for a minimum of 7hours per day.</t>
  </si>
  <si>
    <t>P-500-22287-529390</t>
  </si>
  <si>
    <t>MASSAGE THERAPIST</t>
  </si>
  <si>
    <t>TO QUALIFY APPLICANTS MUST HAVE AT LEAST 24 MONTHS EXPERIENCE WORKING IN THE SAME POSITION. MUST HAVE EXTENSIVE KNOWLEDGE OF THAI MASSAGE. CUSTOMER SERVICE, COMMUNICATION AND INTERPERSONAL SKILLS ARE A MUST. APPLICANT MUST BE ABLE TO CONVERSE IN JAPANESE, CHINESE &amp; ENGLISH TO ACCOMMODATE DIVERSE TOURIST CLIENTELE. PLEASE NOTE THAT THE WORKER MAY BE ASSIGNED TO EITHER OPENING SHIFT, MID SHIFT OR CLOSING SHIFT. APPLICANTS ARE REQUIRED TO SUBMIT THEIR RESUME AND EMPLOYMENT CERTIFICATION SHOWING THE REQUIRED WORK EXPERIENCE.</t>
  </si>
  <si>
    <t>P-500-22287-529397</t>
  </si>
  <si>
    <t>GENERAL MAINTENANCE WORKER</t>
  </si>
  <si>
    <t>MUST HAVE 2 YEARS OF EXPERIENCE IN THE SAME POSITION MAINTAINING AN EXISTING BUILDING TO PREVENT DETERIORATION. CUSTOMER  SERVICE,COMMUNICATION AND INTERPERSONAL SKILLS ARE A MUST. APPLICANT MUST BE ABLE TO MULTI TASK. MUST BE ABLE TO MAINTAIN COOPERATIVE ATTITUDE UNDER STRESSFUL CIRCUMSTANCES. APPLICANT MUST BE WILLING TO WORK FLEXIBLE TIME, HOLIDAYS AND WEEKENDS WHEN NECESSARY. MUST HAVE ORGANIZATIONAL AND FOLLOW UP SKILLS, PROFESSIONAL PRESENTATION AND ATTITUDE AND ABILITY TO MAINTAIN FOCUS WHILE WORKING INDIVIDUALLY. MUST HAVE TIME MANAGEMENT SKILLS., GOOD KNOWLEDGE OF BUILDING SKILLS INCLUDING AIR-CONDITIONING MAINTENANCE, ELECTRICAL, PLUMBING, PAINTING, AND GENERAL BUILDING REPAIR, ADEPT AT USING A VARIETY OF HAND AND ELECTRICAL TOOLS. MUST HAVE THE ABILITY TO CLIMB HEIGHTS, LIFT UP TO 50 LBS. AND
CLIMB ONTO LADDERS. WORK HOURS WILL BE BETWEEN 8AM AND 7PM FOR A MINIMUM OF 5-6 HOURS PER DAY.</t>
  </si>
  <si>
    <t>P-500-22287-529402</t>
  </si>
  <si>
    <t>Applicant must have 12 months of experience in the same position. Must have ability to complete scheduled tasks while responding to unexpected incidents. Must have knowledge of health and safety standards and the ability to handle cleaning chemicals safely. Must have time management skills, can work diligently and independently with least supervision. Good customer service, communication and interpersonal skills are a must especially when dealing with clients. Applicants must be able to multitask and work under pressure. Applicant must be willing to work flexible time, holidays and weekends when necessary. Work hours will be between 6AM and 8PM for at least 7 hours per day.</t>
  </si>
  <si>
    <t>P-500-22287-529423</t>
  </si>
  <si>
    <t>BOOKKEEPING OR ACCOUNTING</t>
  </si>
  <si>
    <t>BOOKKEEPING, ACCOUNTING AND AUD</t>
  </si>
  <si>
    <t>KNOWLEDGE OF INTUIT QUIKBOOKS ACCOUNTING SOFTWARE, ORACLE SOFTWARE MYMICROS HOSPITALITY AND INVENTORY MANAGEMENT SYSTEM. MUST BE ABLE
TO USE MICROSOFT EXCEL AND WORDS. KNOWLEDGE OF PRINCIPLES AND METHODS OF INVENTORY PRICING AND COSTING .KNOWLEDGE OF HR2 PAYROLL SYSTEM
AND FINANCIAL ANALYSIS SOFTWARE ORACLE E BUSINESS SUITE FINANCIALS.
USING MATHEMATICS TO SOLVE PROBLEMS.CRITICAL THINKING USING LOGIC REASONING TO IDENTIFY THE STRENGHT AND WEAKNESSES OF ALTERNATIVE
SOLUTIONS, CONCLUSIONS OR APPROCAHES TO PROBLEMS.
JOB REQUIRE KNOWLEDGE OF ECONOMIC AND ACCOUNTING PRINCIPLES AND PRACTICES, THE FINANCIAL MARKET, BANKING AND ANLYSIS AND REPORTING OF
FINANCIAL DATA.JOB REQUIRES KNOWLEDGE OF ADMINISTARTIVE AND CLERICAL PROCEDURES AND
SYSTEM SUCH AS A WORD PROCESSING MANAGING FILES AND RECORDS DESIGNING FORMS AND OTHER OFFICE PROCEDURES AND TERMINOLOGY.
PREVIOUS WORK RELATED SKILL, KNOWLEDGE OR EXPERIENCE IS REQUIRED FOR THIS OCCUPATION.
JOB REQUIRES BEING RELIABLE, RESPONSIBLE, AND DEPENDABLE, AND
FULFILLING OBLIGATIONS.JOB REQUIRES BEING CAREFUL ABOUT DETAILS AND THOROUGH IN COMPLETING WORK TASKS.
DEPENDABLE AND RESPONSIBLE ON THE JOB, INCLUDING PUNCTUALITY AND ATTENDANCE. HONEST AND ETHICAL. STRESS TOLERANCE, BY BEING TO DEAL CALMLY
AND EFFECTIVELY STRESSFUL SITUATIONS, PLEASANT WITH OTHERS ON THE JOB AND DISPLAYING GOOD NATURED, COOPERATIVE ATTITUDE.JOB REQUIRES BEING
OPEN TO CHANGE AND TO CONSIDERABLE VARIETY IN THE WORKPLACE.
SUCCESSFUL APPLICANT WILL BE REQUIRED TO SUBMIT LETTER OF RECOMMENDATIONS FROM PREVIOUS EMPLOYMENT, WHICH MUST INCLUDE A
STATEMENT ON RELIABILITY ON PUNCTUALITY AND ATTENDANCE AND MEETING REPORTING REQUIREMENTS.
REQUIRED FROM SUCCESSFUL APPLICANTS BEFORE START OF WORK: POLICE CLEARANCE AND FOOD HANDLER CERTIFICATION.
DYNAMIC CORE, INC. IS AN EQUAL OPPORTUNITY EMPLOYER AND ABOVE-MENTIONED REQUIREMENTS SHALL BE APPLIED EQUALLY TO ALL SUCCESSFUL APPLICANTS
WHETHER U.S. CITIZENS, U.S. PERMANENT LEGAL RESIDENCE, OR CW-1 WORKERS.</t>
  </si>
  <si>
    <t>P-500-22287-531261</t>
  </si>
  <si>
    <t>P-500-22288-532053</t>
  </si>
  <si>
    <t>P-500-22288-532057</t>
  </si>
  <si>
    <t>Bachelor of Science in Accountancy</t>
  </si>
  <si>
    <t>Knowledge in Accounting software with Certications</t>
  </si>
  <si>
    <t>P-500-22288-532058</t>
  </si>
  <si>
    <t>Beautician</t>
  </si>
  <si>
    <t>CAN PERFORM DIFFERENT KIND OF HAIR STYLES. SKILLS TO SHAPE DIFFERENT KINDS OF HAIR STYLES. EMPLOYMENT CERTIFICATE FOR AT LEAST 12 MONTHS</t>
  </si>
  <si>
    <t>P-500-22288-532059</t>
  </si>
  <si>
    <t>Housekeeping attendant</t>
  </si>
  <si>
    <t>P-500-22289-532138</t>
  </si>
  <si>
    <t>6 Month western and local style food cooking experience</t>
  </si>
  <si>
    <t xml:space="preserve">Western and local style food cooking certifications are preferred.
</t>
  </si>
  <si>
    <t>P-500-22289-532142</t>
  </si>
  <si>
    <t>P-500-22290-532277</t>
  </si>
  <si>
    <t>GROUNDSKEEPER</t>
  </si>
  <si>
    <t>REQUIRES ADVANCED KNOWLEDGE OF AGRONOMY AND TURF GRASS MANAGEMENT PRACTICES, HANDLING CHEMICALS SUCH AS FERTILIZERS AND PESTICIDES.
KNOWLEDGE OF SAFE, EFFICIENT MECHANICAL EQUIPMENT SUCH AS TRACTORS, MOWERS, AND DRIVING OTHER MOTORIZED EQUIPMENT. KNOWLEDGE OF DIESEL
AND GASOLINE EQUIPMENT OPERATIONS. MUST HAVE THE ABILITY TO IMAGINE HOW PLANTS, TREES, SHRUBS, AND OTHER LANDSCAPING WILL LOOK BEFORE
PLANTING OR TRIMMING. MUST BE ABLE TO WORK UNDER THE SUN AND CAN STAND FOR PROLONGED PERIOD OF TIME AND CAPABLE OF LIFTING AT LEAST 50LBS.
MUST BE ABLE TO ACQUIRE PESTICIDE APPLICATOR LICENSE PRIOR END OF THE TRAINING PERIOD. MUST BE CAPABLE OF DOING PHYSICALLY STRENUOUS LABOR
FOR LONG HOURS, OCCASIONALLY IN EXTREME HEAT OR COLD. WILLING TO WORK IN FLEXIBLE SHIFTS, DAYS, EVENING, WEEKENDS AND HOLIDAYS</t>
  </si>
  <si>
    <t>P-500-22290-532281</t>
  </si>
  <si>
    <t>B.S MAJOR IN CCOUNTANCY</t>
  </si>
  <si>
    <t xml:space="preserve">KNOWLEDGE OF ECONOMIC AND ACCOUNTING PRINCIPLES AND PRACTICES, A/P, A/R, G/L, BANK ANALYSIS AND REPORTING OF FINANCIAL DATA. 
2. EXCELLENT IN MATHEMATICAL AND COMMUNICATION SKILLS. 
3. ABILITY TO MAINTAIN HIGHLY CONFIDENTIAL NATURE OF ACCOUNTING WORKS AND POSSESS PROFESSIONALISM WITH GOOD MANNERS AND RIGHT CONDUCT. 
4. ABILITY TO SUPERVISE AND TRAIN PEOPLE ON HOW TO USE FINANCIAL SPREADSHEETS. 
5. ABILITY TO OPERATE PEACHTREE ACCOUNTING SOFTWARE. 
6. COMPUTER LITERATE. 
7. ABILITY TO WORK UNDER PRESSURE AND MANAGE AND MEET DEADLINES. 
8. WILLING TO WORK IN FLEXIBLE SHIFTS, DAYS, EVENING, WEEKENDS AND HOLIDAYS
</t>
  </si>
  <si>
    <t>P-500-22290-532301</t>
  </si>
  <si>
    <t>DISHWASHER, STEWARD</t>
  </si>
  <si>
    <t xml:space="preserve">EXCELLENT INTERPERSONAL SKILLS WITH A POSITIVE ATTITUDE, PROFESSIONAL, NEAT AND WELL-GROOMED AT ALL TIMES. BE ABLE TO STAND FOR PROLONGED
PERIOD OF TIME. FULL UNDERSTANDING OF LICENSING RESPONSIBILITIES AND ENVIRONMENTAL HEALTH STANDARDS. MUST HAVE PASSION IN KITCHEN WORK,
CREATIVE AND DEDICATED TEAM PLAYER WITH THE ABILITY TO WORK IN A MULTICULTURAL ENVIRONMENT AND UNDER DIFFICULT CONDITION. WORK EXPERIENCE AT
A LUXURY HOTEL RESTAURANT PREFERRED. MUST BE ABLE TO OBTAIN A FOOD HANDLER CERTIFICATION. FLEXIBLE AND WILLING TO ASSIST AS NEEDED TO ENSURE
ALL RESTAURANT STANDARDS ARE MET. BE ABLE AND WILLING TO WORK IN FLEXIBLE SHIFTS, DAYS, EVENING, NIGHT, WEEKEND AND HOLIDAYS.
</t>
  </si>
  <si>
    <t>P-500-22290-532312</t>
  </si>
  <si>
    <t xml:space="preserve">GROUNDSKEEPING SUPERVISOR </t>
  </si>
  <si>
    <t xml:space="preserve">	KNOWLEDGE OF HORTICULTURE, AGRONOMY AND TURF MANAGEMENT IS A PLUS. 
	ABILITY TO UNDERSTAND GOLF FACILITY CONSTRUCTION PRINCIPLES, PRACTICES AND METHODS. 
	ABILITY TO UNDERSTAND RULES AND STRATEGIES OF THE GAME OF GOLF. 
	ABILITY TO SUPERVISE SUBORDINATES. 
	ABILITY TO WORK ON EMAIL COMMUNICATION OR COMPUTER LITERACY. 
	ABILITY TO UNDERSTAND, SPEAK, READ ENGLISH SAFETY INSTRUCTION. 
	MUST BE ABLE TO WORK UNDER THE SUN AND CAN STAND FOR PROLONGED PERIOD OF TIME AND PHYSICALLY CAN LIFT AT LEAST 50LBS.
ALL INTERESTED APPLICANTS (U.S CITIZEN, FOREIGN WORKER, ETC.) MUST BE ABLE TO OBTAIN A CNMI PESTICIDE APPLICATOR LICENSE. 
	.WILLING TO WORK IN FLEXIBLE SHIFTS, DAYS, EVENING, WEEKENDS AND HOLIDAYS.
</t>
  </si>
  <si>
    <t>First-Line Supervisors of Landscaping, Lawn Service, and Groundskeeping Workers</t>
  </si>
  <si>
    <t>P-500-22290-532313</t>
  </si>
  <si>
    <t>B.S IN COMPUTER SCIENCE</t>
  </si>
  <si>
    <t>TECHNICAL SUPPORT SPECIALIST, SYSTEMS INGINEER</t>
  </si>
  <si>
    <t>ABILITY TO UNDERSTAND, WORK AND READ OMPUTER PROGRAM/SOFTWARE SUCH AS OPERA,PMS (PROPERTY MANAGEMENT SYSTEM) VER. 5.0, MICROS 9700
VERSION 3.60.453, MATERIALS CONTROL VERSION 8.6, SUN SYSTEM VERSION 4, SAGE ACCOUNTING SYSTEM, VISION EXECUTIVE, KRONOS TIMEKEEPER 4.3,
CELERITIME, ELAVON PROTOBASE.
ABILITY TO MAINTAIN HIGHLY CONFIDENTIAL NATURE OF PROGRAMMINGWORKS AND POSSESS PROFESSIONALISM WITH GOOD MANNERS AND RIGHT CONDUCT.
EXCELLENT COMPUTER SKILLS.
ABILITY TO WORK UNDER PRESSURE AND MANAGE AND MEET DEADLINES.
WILLING TO WORK IN FLEXIBLE SHIFTS, DAYS, EVENING, WEEKENDS AND HOLIDAYS</t>
  </si>
  <si>
    <t>Computer Network Support Specialists</t>
  </si>
  <si>
    <t>P-500-22290-532317</t>
  </si>
  <si>
    <t>ASSOCIATE DEGREE IN ACCOUNTING</t>
  </si>
  <si>
    <t xml:space="preserve">ACCOUNTING CLERK </t>
  </si>
  <si>
    <t xml:space="preserve">	EXCELLENT IN MATHEMATICAL AND COMMUNICATION SKILLS. 
	ABILITY TO MAINTAIN HIGHLY CONFIDENTIAL NATURE OF ACCOUNTING WORKS AND POSSESS PROFESSIONALISM WITH GOOD MANNERS AND RIGHT CONDUCT. 
	ABILITY TO OPERATE PEACHTREE ACCOUNTING SOFTWARE, AND OTHER ACCOUNTING AS REQUIRED. COMPUTER LITERATE. ABILITY TO WORK UNDER PRESSURE AND MANAGE AND MEET DEADLINES. UNDERSTAND AND KNOWLEDGEABLE ABOUT FEDERAL AND LOCAL REQUIRED TAXES. WILLING TO WORK IN FLEXIBLE SHIFTS, DAYS, EVENING, WEEKENDS AND HOLIDAYS.
</t>
  </si>
  <si>
    <t>P-500-22290-532352</t>
  </si>
  <si>
    <t>BARTENDER</t>
  </si>
  <si>
    <t xml:space="preserve">	KNOWLEDGE IN DIFFERENT VARIETY OF COCKTAIL, TROPICAL, ALCOHOLIC OR NON-ALCOHOL DRINKS. 
	MUST BE ABLE TO CREATE AND POSSESS BROAD IDEAS FOR MIXING, CREATING AND SERVING DRINKS. 
	EXCELLENT INTERPERSONAL SKILLS WITH A POSITIVE ATTITUDE, PROFESSIONAL, NEAT AND WELL-GROOMED AT ALL TIMES. 
	BE ABLE TO STAND FOR PROLONGED PERIOD OF TIME. 
	FULL UNDERSTANDING OF LICENSING RESPONSIBILITIES AND ENVIRONMENTAL HEALTH STANDARDS AND ALCOHOL LICENSING GUIDELINES. 
	EXCELLENT INTERPERSONAL SKILLS A "PEOPLE PERSON", ACQUIRED HOSPITALITY RELATED PROGRAM AND SPEAKING ADDITIONAL LANGUAGES PREFERRED BUT NOT REQUIRED. 
	KNOWLEDGE OF PRINCIPLES AND PROCESSES FOR PROVIDING CUSTOMER AND PERSONAL SERVICES INCLUDING HANDLING LARGE GROUP OF CUSTOMERS. 
	BE ABLE TO STAND FOR PROLONGED PERIOD OF TIME. ABILITY TO SPEAK, READ AND WRITE ANY OTHER LANGUAGE IS A PLUS. 
	ALL INTERESTED APPLICANTS (U.S CITIZEN, FOREIGN WORKER, ETC.) MUST BE ABLE TO OBTAIN A FOOD HANDLER CERTIFICATION AND ALCOHOL LICENSE CERTIFICATION. 
	WILLING TO WORK IN FLEXIBLE SHIFTS, DAYS, EVENINGS, WEEKEND AND HOLIDAYS.
</t>
  </si>
  <si>
    <t>P-500-22290-532517</t>
  </si>
  <si>
    <t>LANDSCAPER, GARDENER</t>
  </si>
  <si>
    <t>KNOWLEDGE IN MAINTAINING AND MONITORING LANDSCAPE AND NURSERY.KNOWLEDGE OF SAFE,
EFFICIENT MECHANICAL EQUIPMENT SUCH AS MOWERS, BUSHCUTTER, AND MAY DRIVE OTHER MOTORIZED EQUIPMENT. MUST HAVE THE ABILITY TO IMAGINE HOW
PLANTS, TREES, SHRUBS, AND OTHER LANDSCAPING WILL LOOK BEFORE PLANTING OR TRIMMING. MUST BE ABLE TO WORK UNDER THE SUN AND CAN STAND FOR
PROLONGED PERIOD OF TIME AND CAPABLE OF LIFTING AT LEAST 50LBS. MUST BE ABLE TO ACQUIRE PESTICIDE APPLICATOR LICENSE PRIOR END OF THE TRAINING
PERIOD. MUST BE CAPABLE OF DOING PHYSICALLY STRENUOUS LABOR FOR LONG HOURS, OCCASIONALLY IN EXTREME HEAT OR COLD. WILLING TO WORK IN
FLEXIBLE SHIFTS, DAYS, EVENING, WEEKENDS AND HOLIDAYS</t>
  </si>
  <si>
    <t>P-500-22290-532523</t>
  </si>
  <si>
    <t>MECHANIC, GENERAL MAINTENANCE</t>
  </si>
  <si>
    <t>MUST BE KNOWLEDGEABLE IN THE MECHANISM, REPAIRING AND MAINTAINING MECHANICAL EQUIPMENT, GASOLINE AND
DIESEL ENGINE, REPAIRING ALL INTERNAL COMBUSTIBLE ENGINE, GOLF CARTS, GOLF COURSE EQUIPMENT AND COMPANY AUTOMOBILE. MUST BE ABLE TO WORK
UNDER PRESSURE AND MEET DEADLINES AND CAN BE ABLE TO MANAGE. WILLING TO WORK IN FLEXIBLE SHIFTS, DAYS, EVENINGS, WEEKEND AND HOLIDAYS</t>
  </si>
  <si>
    <t>P-500-22290-532527</t>
  </si>
  <si>
    <t xml:space="preserve">BAKING SUPERVISOR, CHEF DE PARTIE (PASTRY SECTION). LINE COOK </t>
  </si>
  <si>
    <t>MUST HAVE THE ABILITY TO SUPERVISE, EXPERIENCE PERFORMING CULINARY DUTIES, HARDWORKING, LEADERSHIP ABILITY, KEEN OBSERVATION SKILLS, AND BE
DETAIL ORIENTED. EXCELLENT INTERPERSONAL SKILLS WITH A POSITIVE ATTITUDE, PROFESSIONAL, NEAT AND WELL-GROOMED AT ALL TIMES. BE ABLE TO STAND
FOR PROLONGED PERIOD OF TIME. FULL UNDERSTANDING OF LICENSING RESPONSIBILITIES AND ENVIRONMENTAL HEALTH STANDARDS. MUST HAVE PASSION IN
COOKING, CREATIVE AND DEDICATED TEAM PLAYER WITH THE ABILITY TO WORK IN A MULTICULTURAL ENVIRONMENT AND UNDER DIFFICULT CONDITION. AND A
HIGHLY QUALIFIED IN PREPARING VARIETY OF FOOD AND KNOWLEDGEABLE IN PROCESSING AND FOOD PRODUCTION SUCH AS SALAD, APPETIZERS, DESSERT AND
MAIN ENTREES. MUST BE ABLE TO OBTAIN A FOOD HANDLER CERTIFICATION. WILLING TO WORK IN FLEXIBLE SHIFTS, DAYS, EVENINGS, WEEKEND AND HOLIDAYS.</t>
  </si>
  <si>
    <t>P-500-22290-532536</t>
  </si>
  <si>
    <t>HEAD COOK, SOUS CHEF</t>
  </si>
  <si>
    <t>EXCELLENT INTERPERSONAL SKILLS WITH A POSITIVE ATTITUDE, PROFESSIONAL, NEAT AND WELL-GROOMED AT ALL TIMES. MUST HAVE THE ABILITY TO SUPERVISE,
EXPERIENCE PERFORMING CULINARY DUTIES, HARDWORKING, LEADERSHIP ABILITY, KEEN OBSERVATION SKILLS, AND BE DETAIL ORIENTED. BE ABLE TO STAND FOR
PROLONGED PERIOD OF TIME. FULL UNDERSTANDING OF LICENSING RESPONSIBILITIES AND ENVIRONMENTAL HEALTH STANDARDS. MUST HAVE PASSION IN COOKING,
CREATIVE AND DEDICATED TEAM PLAYER WITH THE ABILITY TO WORK IN A MULTICULTURAL ENVIRONMENT AND UNDER DIFFICULT CONDITION. AND A HIGHLY
QUALIFIED IN PREPARING VARIETY OF FOOD AND KNOWLEDGEABLE IN PROCESSING AND FOOD PRODUCTION SUCH AS SALAD, APPETIZERS, DESSERT AND MAIN
ENTREES. MUST BE ABLE TO OBTAIN A FOOD HANDLER CERTIFICATION. WILLING TO WORK IN FLEXIBLE SHIFTS, DAYS, EVENINGS, WEEKEND AND HOLIDAYS.</t>
  </si>
  <si>
    <t>P-500-22291-534865</t>
  </si>
  <si>
    <t>Management Accounting</t>
  </si>
  <si>
    <t>Sales Representative</t>
  </si>
  <si>
    <t xml:space="preserve">Must have 24-months of work related experience  as sales representative with Bachelor's Degree of Business Administration Major in Management Accounting. Must have substantial knowledge of each items or products sold such as industrial products, office supplies, furniture, dry goods, playground materials and medical products like medical equipment, medical supplies and various medicine. Has the ability to read and understand information and ideas presented in  writing, ability to communicate information and ideas in speaking so others will understand. Must have knowledge in administrative and clerical procedures and systems such as word processing, managing files and records, and other office procedures and terminology. Proficient in Microsoft Excel, Word and Relevant Software.
 </t>
  </si>
  <si>
    <t>P-500-22291-534897</t>
  </si>
  <si>
    <t>P-500-22291-534914</t>
  </si>
  <si>
    <t>Office Service Representative or related</t>
  </si>
  <si>
    <t>At least a high school diploma. At least 12 months working experience on related field. Knowledge of business and management principles involved in strategic planning, coordination of people and resources, and so on. Knowledge of administrative and office procedures and systems such as word processing, designing forms as required by management and head office, and so on. Good computer skills, proficient in Word, Excel, and Power point. Proficient using of office software for spreading analytical reports and presentation. Fluently speaking and writing both of English and Chinese languages. Knowledge of communication both in English and Chinese with local personnel and headquarters personnel (in China). Understanding of data with privacy standard. Can work even on weekend or holiday.</t>
  </si>
  <si>
    <t>P-500-22291-534915</t>
  </si>
  <si>
    <t>MUST BE FLEXIBLE IN SCHEDULE WHICH INCLUDES EARLY MORNING, AFTERNOON AND LATE EVENING OR WEEKENDS OR HOLIDAYS. MUST HAVE 12-MONTHS OF WORK RELATED EXPERIENCE AS COOK. PREVIOUS CAFE WORK EXPERIENCE IS A PLUS. HAS THE ABILITY TO DELIVER WORDS CLEARLY SO OTHERS CAN UNDERSTAND. MUST BE ABLE TO EXERT WELL-PACED MOBILITY IN LIMITED SPACE. REQUIRES MANUAL DEXTERITY TO USE AND OPERATE ALL NECESSARY
EQUIPMENT. REQUIRES WORKING WITH OTHERS.</t>
  </si>
  <si>
    <t>P-500-22291-534933</t>
  </si>
  <si>
    <t>Knowledge in carpentry,electrical, mechanical and plumbing repairs.</t>
  </si>
  <si>
    <t>P-500-22291-535015</t>
  </si>
  <si>
    <t>Biology or chemistry</t>
  </si>
  <si>
    <t>Environmental profession and water testing laboratory</t>
  </si>
  <si>
    <t>Bachelor's degree in Biology or Chemistry. min. of 4 yrs. experience as Environmental profession and water testing laboratory. Must have knowledge of Safe Drinking Water Act (SDWA) requirements and regulations Must know how to operate analytical instruments, such as spectrophotometers, chlorimeters, flame photometers, or computer-controlled analyzers. Must have valid CNMI drivers license.</t>
  </si>
  <si>
    <t>Environmental Science and Protection Technicians, Including Health</t>
  </si>
  <si>
    <t>P-500-22291-535018</t>
  </si>
  <si>
    <t>Biology or Chemistry</t>
  </si>
  <si>
    <t>Associate's degree in Biology or Chemistry. min. of 2 yrs. experience as Environmental profession and water testing laboratory. Must have knowledge of Safe Drinking Water Act (SDWA) requirements and regulations Must know how to operate analytical instruments, such as spectrophotometers, chlorimeters, flame photometers, or computer-controlled analyzers. Must have valid CNMI drivers license</t>
  </si>
  <si>
    <t>Quality Control Analysts</t>
  </si>
  <si>
    <t>P-500-22291-535209</t>
  </si>
  <si>
    <t>KNOW HOW TO SPEAK ENGLISH,WORKMAN COMPENSATION REQUIRED</t>
  </si>
  <si>
    <t>P-500-22291-535234</t>
  </si>
  <si>
    <t>6 months working experience. Must know how to make dough for making bread and other bakery products. Know how to make oriental cookies. Know how to make cake and different menu of bread making. Must know the techniques in mixing and desired amount of ingredients for making dough. Know how to operate and use baking equipment. Willing to work flexible schedule. Do other related duties as assigned. No criminal record.</t>
  </si>
  <si>
    <t>P-500-22292-537913</t>
  </si>
  <si>
    <t>AT LEAST 6 MONTHS PRIOR EXPERIENCE IN SALES. EXPERIENCE USING COMPUTERS FOR A VARIETY OF TASKS AND THE COMPETENCY IN MICROSOFT APPLICATIONS INCLUDING WORD, EXCEL, AND OUTLOOK. MUST BE ABLE TO WORK DURING WEEKENDS AND HOLIDAYS WHEN NEEDED. MUST TAKE A SKILLED TEST DURING APPLICATION PROCESS: PERFORMING BASIC CALCULATIONS FOR INVENTORY AND OTHER WORK-RELATED RECORD KEEPING.  ANSWERING A BASIC LITERACY COMPREHENSION EXAM -
TOTAL PASSING SCORE IS 89% THE SKILL TESTING AND COMPREHENSION EXAM ARE REQUIRED EQUALLY OF BOTH US AND FOREIGN WORKERS.</t>
  </si>
  <si>
    <t>P-500-22293-540552</t>
  </si>
  <si>
    <t>Certificates of Training in the field of hairdressing.</t>
  </si>
  <si>
    <t>P-500-22293-540621</t>
  </si>
  <si>
    <t>KNOWLEDGE IN CARPENTRY, ELECTRICAL,MECHANICAL AND PLUMBING REPAIRS</t>
  </si>
  <si>
    <t>P-500-22293-540759</t>
  </si>
  <si>
    <t>BACHELOR IN PHYSICAL THERAPY</t>
  </si>
  <si>
    <t xml:space="preserve">PHYSICAL THERAPY LICENSE
</t>
  </si>
  <si>
    <t>Physical Therapists</t>
  </si>
  <si>
    <t>P-500-22293-540762</t>
  </si>
  <si>
    <t>BACHELOR IN PHYSICAL THERAPIST</t>
  </si>
  <si>
    <t>PHYSICAL THERAPY LICENSE</t>
  </si>
  <si>
    <t>P-500-22293-540764</t>
  </si>
  <si>
    <t>ASSOCIATE IN NURSING</t>
  </si>
  <si>
    <t>DIPLOMA
RN LICENSED</t>
  </si>
  <si>
    <t>Registered Nurses</t>
  </si>
  <si>
    <t>P-500-22293-540769</t>
  </si>
  <si>
    <t xml:space="preserve">PT/PHYSICAL THERAPY ASSISTANT LICENSE
</t>
  </si>
  <si>
    <t>P-500-22293-540770</t>
  </si>
  <si>
    <t>P-500-22293-540771</t>
  </si>
  <si>
    <t>Accounting Assistant, Accountant</t>
  </si>
  <si>
    <t>Must have knowledge in accounting principles and practices particularly in accounts receivables, accounts payable, inventory and bank reconciliation.  Ability to communicate in English.  Must be computer literate.  Preferably with knowledge in different software applications such hotel opera, micros pos, e-golf system and MAS200 accounting system.</t>
  </si>
  <si>
    <t>P-500-22293-540922</t>
  </si>
  <si>
    <t>HAZMAT AND D.O.T. CERTIFICATE</t>
  </si>
  <si>
    <t>Packaging and Filling Machine Operators and Tenders</t>
  </si>
  <si>
    <t>P-500-22293-543250</t>
  </si>
  <si>
    <t>SECURITY GUARD</t>
  </si>
  <si>
    <t>At least 6 months working experience. Guard and patrol the whole area of the premises. Willing to work flexible schedule. Do other related duties as assigned. No criminal record.</t>
  </si>
  <si>
    <t>Security Guards</t>
  </si>
  <si>
    <t>P-500-22293-543253</t>
  </si>
  <si>
    <t>WAREHOUSE SUPERVISOR</t>
  </si>
  <si>
    <t>P-500-22294-543303</t>
  </si>
  <si>
    <t>12 MONTHS OF WORK EXPERIENCE</t>
  </si>
  <si>
    <t>1 YEAR WORK EXPERIENCE. ABILITY TO GET WELL WITH PEOPLE. ABILITY TO WORK UNDER PRESSURE AND COPE WITH EMERGENCIES. KNOWLEDGE RELATED TO TRAVEL DOCUMENTS, MEDICAL INSURANCE, AIRLINE TICKETING AND LUGGAGE RULES, HOTEL &amp; ACCOMMODATIONS RULES. KNOWLEDGE RELATED TO HISTORY, ARTS &amp; CULTURES, PEOPLE, TOURISTS DESTINATIONS, GEOGRAPHY &amp; FOOD ABOUT DESTINATIONS IN ALL THE COUNTRY OF TRAVEL.</t>
  </si>
  <si>
    <t>P-500-22294-543333</t>
  </si>
  <si>
    <t>HOTEL MANAGEMENT/RELATED FIELDS</t>
  </si>
  <si>
    <t>HOTEL MANAGER</t>
  </si>
  <si>
    <t>Lodging Managers</t>
  </si>
  <si>
    <t>P-500-22294-543358</t>
  </si>
  <si>
    <t>Knowledge in carpentry,electrical,mechanical and plumbing repairs.</t>
  </si>
  <si>
    <t>P-500-22294-543362</t>
  </si>
  <si>
    <t>FRONT DESK CLERK</t>
  </si>
  <si>
    <t>P-500-22294-543367</t>
  </si>
  <si>
    <t>BUSINESS MANAGEMENT/RELATED FIELDS</t>
  </si>
  <si>
    <t>MANAGER</t>
  </si>
  <si>
    <t>FAMILIARITY WITH HARDWARE CONSTRUCTION SUPPLIES, WHOLESALE AND RETAIL INDUSTRY</t>
  </si>
  <si>
    <t>P-500-22294-543373</t>
  </si>
  <si>
    <t>RETAIL SALES ASSOCIATE</t>
  </si>
  <si>
    <t>WITH KNOWLEDGE IN CONSTRUCTION HARDWARE SUPPLIES</t>
  </si>
  <si>
    <t>Retail Salespersons</t>
  </si>
  <si>
    <t>P-500-22294-543379</t>
  </si>
  <si>
    <t>GENERAL ADMIN CLERK</t>
  </si>
  <si>
    <t xml:space="preserve">	At least 12 months work related experience; With knowledge of administrative and clerical procedures such as managing files and records; With knowledge in Sage 50 accounting software</t>
  </si>
  <si>
    <t>P-500-22294-543409</t>
  </si>
  <si>
    <t>OPERATION MANAGER</t>
  </si>
  <si>
    <t>High School graduate with at least 12 months working experience. Must have an experience as an Operation Manager. Must have strong leadership. Can handle the whole operation of the business. At least understand simple Korean and Chinese language greetings. Know the operating procedure of Security Guard Services. Willing to work flexible schedule. No criminal record.</t>
  </si>
  <si>
    <t>P-500-22294-543411</t>
  </si>
  <si>
    <t>SEWING MACHINE OPERATOR</t>
  </si>
  <si>
    <t>Knowledgeable in operating sewing machines.</t>
  </si>
  <si>
    <t>P-500-22294-543419</t>
  </si>
  <si>
    <t>HOUSEHELPER</t>
  </si>
  <si>
    <t xml:space="preserve">Must be physically fit. Must be able to spend the day on their feet without getting overly tired. Must be able to move, lift, push furniture to clean the space underneath. Can operate a vacuum cleaner, water blaster and other cleaning and household equipment. Can work in open or confined spaces,exposed to heat cleaning solutions, dust and dirt, all kinds of insects under all kinds of weather. Can read, write,add,multiply, subtract and divide,Follow instruction. Can work weekends and holidays, daytime or evening. Can see objects close and far range. No training required. With 3 months work experience as househelper. </t>
  </si>
  <si>
    <t>P-500-22294-543432</t>
  </si>
  <si>
    <t>Knowledge in carpentry, electrical, mechanical and plumbing repairs.</t>
  </si>
  <si>
    <t>P-500-22294-543465</t>
  </si>
  <si>
    <t>WORKS AS ACCOUNTING ASSOCIATE</t>
  </si>
  <si>
    <t xml:space="preserve">PROFICIENT IN MICROSOFT AND ACCOUTNING SOFTWARE SUCH AS QUICKBOOK AND PEACH TREE,KNOWLEDGEABLE ON U.S GENERAL ACCEPTED ACCOUNTING
PRINCIPLES.PROFICIENT IN THE ENGLISH LANGUAGE(VERBAL,WRITTEN AND READING)ACTIVE LISTENING,CRITICAL THINKING ,CERTIFICATE OF EMPLOYMENT AS ACCOUNTING ASSOCIATE.  APPLIED EQUALITY TO BOTH US WORKER AND CW-1 WORKER
</t>
  </si>
  <si>
    <t xml:space="preserve">
</t>
  </si>
  <si>
    <t>P-500-22294-543468</t>
  </si>
  <si>
    <t>WORKS AS MAINTENANCE AND REPAIR WORKER, GENERAL</t>
  </si>
  <si>
    <t>KNOWLEDGE IN EQUIPMENT ,REPAIRING TROUBLE SHOOTING,EQUIPMENT SELECTION OR DETERMINING THE KIND OF TOOLS AND EQUIPMENT NEEDED TO DO A JOB
PHYSICALLY FIT</t>
  </si>
  <si>
    <t>P-500-22294-543481</t>
  </si>
  <si>
    <t>TRASH COLLECTOR</t>
  </si>
  <si>
    <t>Preferably with valid driving license as Heavy Equipment Operator. Willing to work as early as 5:00 o'clock in the morning and on weekends.</t>
  </si>
  <si>
    <t>Refuse and Recyclable Material Collectors</t>
  </si>
  <si>
    <t>P-500-22295-545693</t>
  </si>
  <si>
    <t>EMBROIDERY MACHINE OPERATOR</t>
  </si>
  <si>
    <t xml:space="preserve">Preferably with skills in Computer program/Digitizing. Knowledgeable in operating embroidery machine. </t>
  </si>
  <si>
    <t>P-500-22295-545700</t>
  </si>
  <si>
    <t>GRAPHIC DESIGNER</t>
  </si>
  <si>
    <t>Portfolio and samples work required. Skills in using Adobe design software such as Photoshop, Illustrator and InDesign.</t>
  </si>
  <si>
    <t>P-500-22295-545703</t>
  </si>
  <si>
    <t xml:space="preserve">Must be physically fit. Must be able to spend the day on their feet without getting overly tired. Must be able to move, lift, push furniture to clean the space underneath. Can operate a vacuum cleaner, water blaster and other cleaning and household equipment. Can work in open or confined spaces,exposed to heat cleaning solutions, dust and dirt, all kinds of insects under all kinds of weather. Can read, write,add,multiply, subtract and divide,Follow instruction. Can work weekends and holidays, daytime or evening. Can see objects close and far range. </t>
  </si>
  <si>
    <t>P-500-22296-545880</t>
  </si>
  <si>
    <t>At least 6 months working experience. High School graduate or equivalent. Knows how to make different kind of dishes. Knows how to make different kinds of snacks and desserts. Knows how to measure and assemble ingredients for menu items. Maintain accurate food inventories. Knowledge in cooking. Ensure that the food preparation area and the kitchen are sanitized at the end of the shift. Willing to work flexible schedule. Do other related duties as assigned. No criminal record.</t>
  </si>
  <si>
    <t>Cooks, Short Order</t>
  </si>
  <si>
    <t>P-500-22296-545881</t>
  </si>
  <si>
    <t>TAX PREPARER</t>
  </si>
  <si>
    <t xml:space="preserve">At least 12 months working experience as Tax Preparer. High school graduate. Can handle various companies. Can compute financial statement, 1120, 1120F and different types of taxes. Willing to work flexible schedule. Do other related duties as assigned. </t>
  </si>
  <si>
    <t>Tax Preparers</t>
  </si>
  <si>
    <t>P-500-22296-545882</t>
  </si>
  <si>
    <t>At least 12 months working experience as Baker. High school graduate or equivalent. Must know how to make dough for making bread and other bakery products. Know how to make oriental assorted cookies, cakes, bread and pastries. Must know the techniques in mixing and desired amount of ingredients for making dough. Know how to operate and use of baking equipment. Willing to work flexible schedule. Perform other related duties as assigned.</t>
  </si>
  <si>
    <t>P-500-22297-546012</t>
  </si>
  <si>
    <t xml:space="preserve">PLUMBERS, PIPEFITTERS AND STEAMFITTERS </t>
  </si>
  <si>
    <t>KNOWLEDGE IN TROUBLESHOOTING AND REPAIR OF ELECTRICAL AND MECHANICAL PROBLEMS OF MACHINES. KNOW HOW TO READ ELECTRICAL DIAGRAM AND LAY
OUT PLAN. KNOW HOW TO REPAIR DOOR LOCKS AND OPERATE WELDING MACHINE. KNOW HOW TO OPERATE POWER TOOLS. KNOW HOW TO REPAIR PROBLEMS ON
GENERATOR. WILLING TO WORK FLEXIBLE SCHEDULE. DO OTHER RELATED DUTIES AS ASSIGNED</t>
  </si>
  <si>
    <t>P-500-22297-546013</t>
  </si>
  <si>
    <t xml:space="preserve">Maids and Housekeeping Cleaners </t>
  </si>
  <si>
    <t>P-500-22297-546014</t>
  </si>
  <si>
    <t xml:space="preserve">Landscape architecture or related </t>
  </si>
  <si>
    <t>Management &amp; Landscaping or Grounds keeping</t>
  </si>
  <si>
    <t xml:space="preserve">To be knowledgeable about plants and the environment. Able to have good written and verbal communication skills. To be well organized and able to prioritize a number of different tasks. Leadership and management skills. A Practical approach to work. To understand the law in relation to the environment, land, or terrain. Good negotiation skills. Business and budgeting skills. Physical fitness if they are involved in outdoor work. </t>
  </si>
  <si>
    <t>P-500-22297-546015</t>
  </si>
  <si>
    <t xml:space="preserve">OFFICE CLERKS, GENERAL </t>
  </si>
  <si>
    <t>KNOWLEDGEABLE IN QUICKBOOKS ACCOUNTING, PEACHTREE, SAGE, MS OFFICE, NUMERICAL SKILLS, ORGANIZATIONAL SKILLS, COMPUTER SKILLS, PROBLEM-SOLVING SKILLS</t>
  </si>
  <si>
    <t>P-500-22297-546021</t>
  </si>
  <si>
    <t>Hotel &amp; Restaurant &amp; Human Resources</t>
  </si>
  <si>
    <t>Human Resouces Training &amp; Development &amp; Customer Services</t>
  </si>
  <si>
    <t>Able to demonstrate specific skills: 1. Active listening-giving full attention to what other people are saying, taking time to understand the points being made, asking questions as appropriate, and not interrupting at inappropriate times. 2.Speaking-talking to others to convey information effectively. 3. Reading Comprehension-Understanding written sentences and paragraphs in work related documents. 4. Critical Thinking- Using logic and reasoning to identify the strengths and weaknesses of alternative solutions, conclusions or approaches to problems. 5. Writing-Communicating effectively in writing as appropriate for the needs of the audience. Able to Coordinate training activities. Develop training materials. Train personnel to enhance job skills. Conduct surveys in organizations. Evaluate training programs, instructors, or materials.</t>
  </si>
  <si>
    <t>Training and Development Specialists</t>
  </si>
  <si>
    <t>P-500-22297-546022</t>
  </si>
  <si>
    <t>Knowledge in using measuring devices, power tools, and testing equipment such as ohmmeters, voltmeters, oscilloscopes, ammeters,  or test lamps.
Knowledge of principles and processes for providing customer and personal services. This includes customer needs assessment, meeting quality standards for services, and evaluation of customer satisfaction.
Knowledge of design techniques, tools, and principles involved in the production of precision technical plans, blueprints, drawings, and models.
Knowledge of machines and tools, including their designs, uses repair, and maintenance.</t>
  </si>
  <si>
    <t>P-500-22297-546025</t>
  </si>
  <si>
    <t>HIGH SCHOOL</t>
  </si>
  <si>
    <t>Cook (Korean Cuisine)</t>
  </si>
  <si>
    <t>At least 1 year of professional cooking experience and proficiency in a wide variety of Korean cuisine is required.</t>
  </si>
  <si>
    <t>P-500-22297-546030</t>
  </si>
  <si>
    <t xml:space="preserve">Applicant must have a 4-year bachelors degree in accounting and must have at least 3 years work experience in accounting. A CPA license is preferred. Must have experience in preparing financial statements in accordance with generally accepted accounting principles. Able to communicate financial results to stakeholders. Able to develop, modify, and document recordkeeping and accounting systems, making use of current computer technology or accounting software. </t>
  </si>
  <si>
    <t>P-500-22297-546068</t>
  </si>
  <si>
    <t>JANITOR AND CLEANER</t>
  </si>
  <si>
    <t xml:space="preserve">3 MONTHS EXPERIENCE IS REQUIRED AND PREFERABLY WITH KNOWLEDGE OR EXPERIENCE WITH CLEANING SUPPLIES SUCH AS CLEANING CHEMICALS AND
SOLVENTS AND THE ABILITY TO OPERATE THE CLEANING EQUIPMENT/MACHINES, TIME MANAGEMENT, ATTENTION TO DETAIL, ABILITY TO WORK INDEPENDENTLY, AND
SUPPLY MANAGEMENT. JANITORIAL AND WORK IS NOT ONLY ABOUT CLEANING, SOMEONE HAS THE ABILITY TO ORGANIZE WHAT WORK NEEDS TO BE DONE AND WHEN AND WHERE TO DO IT. CLEANING SUPPLIES MUST BE TRACKED, SCHEDULES SET, AND RECORDS KEPT, INCLUDING INVENTORY, ORDERING SUPPLIES, RECORD KEEPING, AND PROPER WORK SCHEDULING. MUST BE WORKING AS PART OF A TEAM AND FOLLOWING INSTRUCTIONS.
</t>
  </si>
  <si>
    <t>P-500-22297-546135</t>
  </si>
  <si>
    <t>ARCHITECTURE</t>
  </si>
  <si>
    <t>ARCHITECTURAL DRAFTER OR ARCHITECT</t>
  </si>
  <si>
    <t>MUST BE COMPUTER LITERATE AND KNOWLEDGEABLE WITH COMPUTER-AIDED DESIGN (CAD) SOFTWARE.</t>
  </si>
  <si>
    <t>P-500-22297-546140</t>
  </si>
  <si>
    <t>INFORMATION TECHNOLOGY OR RELATED FLD</t>
  </si>
  <si>
    <t>MUST BE KNOWLEDGEABLE IN INSTALLING AND CONFIGURING COMPUTER SYSTEM; SETTING UP COMPUTER NETWORKS; AND MAINTAINING AND REPAIRING COMPUTER SYSTEMS.</t>
  </si>
  <si>
    <t>P-500-22298-548098</t>
  </si>
  <si>
    <t xml:space="preserve">PHYSICAL THERAPIST AIDE TRAINING CERTIFICATE OR EQUIVALENT EXPERIENCE
CPR
</t>
  </si>
  <si>
    <t>Physical Therapist Aides</t>
  </si>
  <si>
    <t>P-500-22298-548104</t>
  </si>
  <si>
    <t>PERSONAL CARE SERVICES</t>
  </si>
  <si>
    <t>Home Care Aide Certificate</t>
  </si>
  <si>
    <t>Personal Care Aides</t>
  </si>
  <si>
    <t>P-500-22298-548108</t>
  </si>
  <si>
    <t>NURSING DIPLOMA
LPN LICENSED</t>
  </si>
  <si>
    <t>P-500-22298-548110</t>
  </si>
  <si>
    <t>BOOKKEEPING, ACCOUNTING AND AUDITING CLERK</t>
  </si>
  <si>
    <t>BOOKKEEPING CERTIFICATE</t>
  </si>
  <si>
    <t>P-500-22298-548115</t>
  </si>
  <si>
    <t>P-500-22298-548129</t>
  </si>
  <si>
    <t>MAINTENANCE AND REPAIR WORKER</t>
  </si>
  <si>
    <t>P-500-22298-548132</t>
  </si>
  <si>
    <t>ASSOCIATE IN SOCIOLOGY</t>
  </si>
  <si>
    <t xml:space="preserve">DIPLOMA IN SOCIAL WORK OR EQUIVALENT EXPERIENCE
CPR
</t>
  </si>
  <si>
    <t>Child, Family, and School Social Workers</t>
  </si>
  <si>
    <t>The wage entered in item E.4 reflects the area of intended employment entered in D.c.4 and D.c.5.</t>
  </si>
  <si>
    <t>P-500-22298-548137</t>
  </si>
  <si>
    <t>PERSONAL CARE SERVICE WORKER</t>
  </si>
  <si>
    <t>P-500-22298-548138</t>
  </si>
  <si>
    <t>="DEPENDING ON THE DISTANCE OF THE WORKER PREFERRED HOUSE TO OUR OFFICE.
SAIPAN IS JUST A SMALL ISLAND AND AVERAGE TIME OF TRAVEL IS JUST 5 TO 10 MINUTES DRIVE.
FREQUENCY OF DAILY TRAVEL IS 2 TIMES EACH DAY FOR 5 DAYS A WEEK.
TRAVEL TO CLIENTS AND PROSPECTIVE CLIENTS FOR SITE VISIT, INSPECTIONS OR MEETINGS AS PER REQUEST OR WORK DEMANDS"</t>
  </si>
  <si>
    <t>CIVIL ENGINEERING, DRAFTING</t>
  </si>
  <si>
    <t>AUTOCAD OPERATION, DRAFTING, DESIGN</t>
  </si>
  <si>
    <t>AUTOCAD OPERATOR, DRAFTMAN, COST ESTIMATES AND DESIGN</t>
  </si>
  <si>
    <t>AUTOCAD OPERATOR;
ARCHITECTURAL, STRUCTURAL, ELECTRICAL, MECHANICAL PLANNING, DESIGN AND COSTING;
KNOWLEDGE IN BUILDING CODES, MATERIALS AND STANDARDS
1 MONTH TRAINING AND 6 MONTHS WORK EXPERIENCE IS REQUIRED</t>
  </si>
  <si>
    <t>P-500-22298-548149</t>
  </si>
  <si>
    <t xml:space="preserve">The wage entered in item E.4 reflects the area of intended employment entered in D.c.4 and D.c.5.
</t>
  </si>
  <si>
    <t>P-500-22298-548153</t>
  </si>
  <si>
    <t>BS COMPUTER SCIENCE</t>
  </si>
  <si>
    <t>COMPUTER ELECTRONIC FILING, COMMUNICATI</t>
  </si>
  <si>
    <t>OFFICE ADMINSTRATION, COMPUTER LITERATE, COMMUNICATIONS</t>
  </si>
  <si>
    <t xml:space="preserve">COMPUTER LITERATE, GOOD COMMUNICATION SKILLS, CUSTOMER SERVICE, </t>
  </si>
  <si>
    <t>Secretaries and Administrative Assistants, Except Legal, Medical, and Executive</t>
  </si>
  <si>
    <t>P-500-22298-548214</t>
  </si>
  <si>
    <t xml:space="preserve">NURSING DIPLOMA
LPN LICENSED
</t>
  </si>
  <si>
    <t>P-500-22298-548218</t>
  </si>
  <si>
    <t>P-500-22298-548220</t>
  </si>
  <si>
    <t>P-500-22298-548223</t>
  </si>
  <si>
    <t>N/</t>
  </si>
  <si>
    <t xml:space="preserve">BOOKKEEPING CERTIFICATE </t>
  </si>
  <si>
    <t>P-500-22298-548224</t>
  </si>
  <si>
    <t>DIPLOMA IN SOCIAL WORK OR EQUIVALENT EXPERIENCE
CPR</t>
  </si>
  <si>
    <t>P-500-22298-548227</t>
  </si>
  <si>
    <t>P-500-22298-548229</t>
  </si>
  <si>
    <t>BACHELOR'S IN PHYSICAL THERAPY</t>
  </si>
  <si>
    <t>P-500-22298-548233</t>
  </si>
  <si>
    <t>PHYSICAL THERAPIST AIDE</t>
  </si>
  <si>
    <t>P-500-22298-548239</t>
  </si>
  <si>
    <t>P-500-22299-550518</t>
  </si>
  <si>
    <t>At least 12 months working experience as Sales Manager. High school graduate or equivalent. Must have work experience in fishing business. Know also how to make bait and repair fishing nets. Know all the type of fish to sell. Do outside sales in hotels and restaurants. Monitor sales and make sales summary report every day. Willing to work flexible schedule. Do other related duties as assigned.</t>
  </si>
  <si>
    <t>P-500-22299-550532</t>
  </si>
  <si>
    <t xml:space="preserve">At least 3 months working experience as fisherman Knowledge in swimming. Know how to operate fish finder equipment and GPS instrument. Knows how to dive in deep fishing catch. Willing to work flexible schedule. Do other related duties as assigned. </t>
  </si>
  <si>
    <t>P-500-22299-550538</t>
  </si>
  <si>
    <t>Retail sales person</t>
  </si>
  <si>
    <t>KNOWLEDGEABLE OF CUSTOMER AND MARKET DYNAMICS AND REQUIREMENTS.  ABILITY TO READ, WRITE AND
EFFECTIVELY COMMUNICATE WITH CUSTOMERS.MUST HAVE 6-MONTHS EXPERIENCE AS RETAIL SALESPERSON.</t>
  </si>
  <si>
    <t>P-500-22299-550552</t>
  </si>
  <si>
    <t>Proven with 12 months maintenance experience. Knowledgeable in maintaining  Diesel Engine Boat.</t>
  </si>
  <si>
    <t>P-500-22299-550592</t>
  </si>
  <si>
    <t>Bachelor in Accounting</t>
  </si>
  <si>
    <t>Works as an Accountant or Auditor</t>
  </si>
  <si>
    <t>KNOWLEDGE OF GENERALLY ACCEPTED ACCOUNTING PRINCIPLE AND CAN PREPARE TAXES SUCH AS FEDERAL AND LOCAL TAX AND INDIVIDUAL AND CORPORATE TAX</t>
  </si>
  <si>
    <t>P-500-22299-550607</t>
  </si>
  <si>
    <t>Works as operations service worker or related.</t>
  </si>
  <si>
    <t xml:space="preserve">Can do and perform work assignment under pressure with less supervision; aggressive and hard-working; neat, clean, presentable with friendly and honest demeanor. Must posses good communication and listening skills. Willing to work flexible hours including holidays and weekends. Must be physically fit to be able to handle strenuous activities. Background checks and drug testing may be required during or prior to employment to all applicants. Must have own transportation to and from work. </t>
  </si>
  <si>
    <t>P-500-22299-550649</t>
  </si>
  <si>
    <t>Poker Gameroom Attendant</t>
  </si>
  <si>
    <t xml:space="preserve">Interact with customers and make sure that they have a pleasant experience in the game room. Monitor customers for violations of gambling rules or the establishment's policies.  Make monetary exchanges and keep accurate records of winnings and change funds. Record and compute wagers, payouts, winnings, and obtain customers information &amp; signatures on receipts. Attends to customers needs and provide assistance. Perform basic repairs of poker machines malfunctions. Maintain cleanliness and orderliness of the game room. Inform the supervisor or a security employee of any irregularities they see. Enforce safety rules and report hazards. Do other related duties as assign from time to time. </t>
  </si>
  <si>
    <t>Gambling Service Workers, All Other</t>
  </si>
  <si>
    <t>P-500-22299-550651</t>
  </si>
  <si>
    <t>Janitor, Housekeeping Staff</t>
  </si>
  <si>
    <t>Must be able to perform physical activities that require considerable use of your arms and legs and moving your whole body, such as climbing, lifting, balancing, walking, stooping, and handling materials.</t>
  </si>
  <si>
    <t>P-500-22299-550668</t>
  </si>
  <si>
    <t xml:space="preserve"> Knowledge of raw materials, production processes, quality control, costs, and other techniques for maximizing the effective manufacture and distribution of goods. Knowledge of business and management principles involved in strategic planning, resource allocation, leadership technique, production methods, and coordination of people and resources.</t>
  </si>
  <si>
    <t>P-500-22299-550670</t>
  </si>
  <si>
    <t xml:space="preserve">	In addition to this list of basic cleaning skills, a special knowledge or experience with cleaning supplies is a plus factor.</t>
  </si>
  <si>
    <t>P-500-22299-550673</t>
  </si>
  <si>
    <t>Have good communication and service skills.</t>
  </si>
  <si>
    <t>P-500-22299-550777</t>
  </si>
  <si>
    <t>RECYCLING AND RECLAMATION WORKER / REFUSE &amp; RECYCLABLE MATERIAL COLLECTORS</t>
  </si>
  <si>
    <t>Must be knowledgeable on how to operate forklifts, pallet jacks, power lifts or front-end loaders to load bales, bundles, or other heavy items onto trucks for shipping to smelters or other recycled materials processing facilities. Workers can work without any supervision. Has the ability to coordinate two or more limbs, ability to quickly and repeatedly adjust the controls of a machine or a vehicle to exact positions. Able to work flexible hours, holidays and weekend.</t>
  </si>
  <si>
    <t>Recycling and Reclamation Workers</t>
  </si>
  <si>
    <t>P-500-22299-550780</t>
  </si>
  <si>
    <t>P-500-22299-550783</t>
  </si>
  <si>
    <t>P-500-22300-553230</t>
  </si>
  <si>
    <t>FIRST LINE SUPERVISOR-DINING</t>
  </si>
  <si>
    <t>Must have a High School diploma. With at least 12 months work experience as a Restaurant Supervisor in a restaurant setting, must have sufficient knowledge on computer to do daily reports. Must be able to handle split and flexible schedules. Must be able to handle various customer complain, control inventory of food, equipment, small ware and liquor and other items such as uniforms that needed monthly inventory report. Can do basic kitchen preparation and cooking during busy situation.</t>
  </si>
  <si>
    <t>P-500-22300-555542</t>
  </si>
  <si>
    <t>TIRE TECHNICIANS</t>
  </si>
  <si>
    <t xml:space="preserve">SPECIAL REQUIREMENTS, SKILLS &amp; CERTIFICATE
Must have a High School diploma or equivalent work experience in a reputable establishment as a Tire Technician. Must have at least 12 months work experience. Must be able to repair, mount and change passenger tires, industrial tires, Bus and truck tires as well as OTR (Off The Road) tires. Must be able to do section repairs as well as regrooving. Must be able to operate (Drive) tire truck and use tire changing tools and equipment. Preferred to have a drivers License.  
</t>
  </si>
  <si>
    <t>Tire Repairers and Changers</t>
  </si>
  <si>
    <t>P-500-22301-555675</t>
  </si>
  <si>
    <t>Applicant must have a high school diploma</t>
  </si>
  <si>
    <t>P-500-22301-555750</t>
  </si>
  <si>
    <t>Must be able to read, write and communicate in English. Has Driver's License is preferable for both U.S. and foreign workers.</t>
  </si>
  <si>
    <t>P-500-22301-555764</t>
  </si>
  <si>
    <t>Accounting Associate</t>
  </si>
  <si>
    <t>Must have an Associate degree, with 24 months minimum experience in accounting function and analytical in accounting information. Ability to work with cross functional team and good team player. Excellent computer skills particularly in Microsoft office. Must have knowledge in quick books accounting software.</t>
  </si>
  <si>
    <t>P-500-22301-555820</t>
  </si>
  <si>
    <t>Bookkeeping, Auditing or Accounting</t>
  </si>
  <si>
    <t>Accounting Clerk and/or Bookkeeper</t>
  </si>
  <si>
    <t xml:space="preserve">MUST HAVE ANY ASSOCIATES DEGREE WITH AT LEAST TWO YEARS WORK-RELATED EXPERIENCE.  MUST KNOW HOW TO OPERATE COMPUTER PROGRAMMED WITH ACCOUNTING SOFTWARE AND PREPARE TAX DOCUMENTS.
</t>
  </si>
  <si>
    <t>P-500-22301-555833</t>
  </si>
  <si>
    <t>Information &amp; Computer Science</t>
  </si>
  <si>
    <t>IT Analyst, Computer Network Support Specialist</t>
  </si>
  <si>
    <t>Knowledge in administering Microsoft Servers, Backup Systems, Oracle Opera Cloud and Symphony, E-golf, MAS200, CCTV and PABX Telephone System.  Must be willing and able to work longer hours should it deemed necessary to complete work or in an event of emergency operation for the company.</t>
  </si>
  <si>
    <t>P-500-22301-555845</t>
  </si>
  <si>
    <t>Chef de Partie</t>
  </si>
  <si>
    <t>Knowledge of food raw materials and ingredients, different type of cuisine particularly Korean, Japanese and American, quality control, costs, and other food preparation techniques for an organized cost efficient kitchen. Must be able to lift atleast 50lbs or more, must be able to work in flexible time, nights, weekends and holidays. Able to obtain Food Handler Certificate.</t>
  </si>
  <si>
    <t>P-500-22301-555857</t>
  </si>
  <si>
    <t>Cook and Food Preparation Workers</t>
  </si>
  <si>
    <t>With at least twelve (12) months experience as a cook, preferably in a hotel facility. Knowledgeable in preparing and cooking Korean dishes,  proper food handling and sanitation practice. Must be able to lift atleast 50lbs or more, must be able to work in flexible time, nights, weekends and holidays, must be able to obtain Food Handler Certificate.</t>
  </si>
  <si>
    <t>P-500-22302-558106</t>
  </si>
  <si>
    <t>MUST BE PHYSICALLY FIT TO HANDLE STRENUOUS JOBS AND ABLE TO LIFT AND CARRY HEAVY ITEMS. MUST KNOW HOW TO DRIVE AND BE ABLE TO SECURE CNMI DRIVER'S LICENSE.</t>
  </si>
  <si>
    <t>P-500-22302-558110</t>
  </si>
  <si>
    <t>MUST BE ABLE TO WORK FOR EXTENDED HOURS OR WORK DAYS. MUST BE ABLE TO WORK WITH POWERED TOOLS.</t>
  </si>
  <si>
    <t>P-500-22302-558116</t>
  </si>
  <si>
    <t>Material Coordinator or related</t>
  </si>
  <si>
    <t xml:space="preserve">AT LEAST A HIGH SCHOOL DIPLOMA OR EQUIVALENT. AT LEAST 12 MONTHS WORKING EXPERIENCE ON RELATED FIELD. FAMILIAR WITH MICROSOFT OFFICE. PROFICIENT USING OF OFFICE SOFTWARE FOR SPREADING ANALYTICAL REPORTS AND PRESENTATION. BEING SENSITIVE OF DATA AND ABILITY TO VERIFY ACCURACY OF TRANSACTIONAL DATA OF THE INVENTORY, MATERIALS AND DOCUMENTS. KNOWLEDGE OF LISTENING AND SPEAKING ENGLISH AND CHINESE, BEING ABLE TO COMMUNICATE WITH LOCAL PEOPLE AND DIFFERENT VENDORS (SUCH AS U.S., SINGAPORE, CHINA, AND SO ON) FOR THE RECEIVING VARIANCE AND PRODUCTS ISSUE, AND ABILITY TO PREPARE INVENTORY REPORT AND MATERIALS MONTHLY SALES REPORTS TO THE MANAGEMENT AND HEAD OFFICE (IN CHINA) FOR PROPER CONTROL. FAST WORKER. CAN STAND HIGH WORKING PRESSURE AND WORK EVEN ON WEEKEND OR HOLIDAY. KNOWLEDGE OF PRINCIPLES AND PROCESSES FOR PROVIDING CUSTOMER AND BUSINESS SERVICES. OTHER SKILLS SUCH AS ACTIVE LISTENING, COORDINATION AND TIME MANAGEMENT. </t>
  </si>
  <si>
    <t>P-500-22303-558285</t>
  </si>
  <si>
    <t>DENTISTRY</t>
  </si>
  <si>
    <t>DENTAL ASSISTANT OR DENTIST</t>
  </si>
  <si>
    <t>MUST BE OR QUALIFIED TO BE A CNMI-REGISTERED DENTAL ASSISTANT; MUST HAVE OR QUALIFIED TO OBTAIN A REGISTRATION APPROVAL FROM THE CNMI MEDICAL
BOARD.</t>
  </si>
  <si>
    <t>Dental Assistants</t>
  </si>
  <si>
    <t>P-500-22303-558288</t>
  </si>
  <si>
    <t>FIBERGLASSMEN</t>
  </si>
  <si>
    <t>At least 12 months working experience as fiberglassmen. High School graduate or equivalent. Know how to make different kinds of fiberglass materials. Know how to make water tank using fiberglass. Know how to check bubbles and dead spot on a water tank. Knowledge in making and designing water tank. Willing to work flexible schedule. Do other related duties as assigned.</t>
  </si>
  <si>
    <t>Fiberglass Laminators and Fabricators</t>
  </si>
  <si>
    <t>P-500-22303-558406</t>
  </si>
  <si>
    <t>MEDICAL EQUIPMENT REPAIRER</t>
  </si>
  <si>
    <t>CERTIFICATE OF WORK EXPERIENCE IN THE FIELD OF DENTISTRY TECHNICIAN. MUST BE ABLE TO SHOW THE ABILITY TO MAINTAIN DENTAL INSTRUMENTS, CAVITRON,
STERILIZER, X-RAY AND DEVELOPERS, SUCTION PUMPS. MUST BE ABLE TO DISMANTLE AND RECONSTRUCT DENTAL CHAIRS</t>
  </si>
  <si>
    <t>Medical Equipment Repairers</t>
  </si>
  <si>
    <t>P-500-22304-558461</t>
  </si>
  <si>
    <t>Must have the ability to communicate with others (both verbal and written) and have the ability to multi-task and work well under pressure in a fast-paced work environment.  Must have excellent interpersonal skills and proficient use of a computer.</t>
  </si>
  <si>
    <t>Medical Assistants</t>
  </si>
  <si>
    <t>P-500-22304-558466</t>
  </si>
  <si>
    <t>MARKETING MANAGER</t>
  </si>
  <si>
    <t>WITH ATLEAST 24 MONTH WORK EXPERIENCE AS A MARKETING MANAGER.</t>
  </si>
  <si>
    <t>Marketing Managers</t>
  </si>
  <si>
    <t>P-500-22304-558602</t>
  </si>
  <si>
    <t xml:space="preserve">TRAVEL AGENT </t>
  </si>
  <si>
    <t xml:space="preserve">	Service oriented person trying to offer or look for resources to help and assist guest in the hotel. 
	Open to talk to guest to convey information effectively. 
	Take social perceptiveness by understanding guest reactions in a situation. 
	Experience working in sales or public relations, preferably in the hospitality or travel industries. 
	Customer-service experience. 
	Excellent written and verbal communication skills. 
	Multi-tasking and time-management skills, with the ability to prioritize tasks.
	Time management, attentive and active in listening guest questions as appropriate. 
	Knowledge in complex problem or guest complain. 
	Solving, coordinating and creating judgement in decision making. 
	Must be able to write and read English language, knowledge in hotel Opera System is an advantage. 
	Computer proficiency and email communication skills is required. 
	Willing to work in flexible shifts, days, evenings, weekends and holidays. 
</t>
  </si>
  <si>
    <t>Reservation and Transportation Ticket Agents and Travel Clerks</t>
  </si>
  <si>
    <t>P-500-22304-558610</t>
  </si>
  <si>
    <t>CHEF DE PARTIE, SENIOR COOK</t>
  </si>
  <si>
    <t>1. KNOWLEDGE AND EXPERIENCED IN HOTEL/RESORT AS A COOK IS AN ADVANTAGE.
2. WILLING TO WORK IN FLEXIBLE SHIFTS, DAYS, EVENINGS, WEEKENDS AND HOLIDAYS.
3. ALL INTERESTED APPLICANTS (U.S CITIZEN, FOREIGN WORKER, ETC.)MUST BE ABLE TO OBTAIN A FOOD HANDLER CERTIFICATION</t>
  </si>
  <si>
    <t>P-500-22304-558617</t>
  </si>
  <si>
    <t>BUILDING MAINTENANCE, FACILITY MAINTENANCE</t>
  </si>
  <si>
    <t>ABILITY TO UNDERSTAND AND MONITOR HOTEL GENERATORS, REVERSE OSMOSIS, HOTEL WATER PUMPS, MONITOR GOLF COURSE IRRIGATIONS, AND HOTEL
DEEPWELL. ABILITY TO MAINTAIN HOTEL FACILITY AIRCON, ELECTRICAL WIRING AND CIRCUITS. ABILITY TO MAINTAIN HOTEL FACILITY BUILDING INFRASTRUCTURES
SUCH AS PAINTING, WELDING AND CARPENTRY OR WOOD AND METAL FABRICATION. ABILITY TO UNDERSTAND. FOLLOW, SPEAK, READ ENGLISH SAFETY
INSTRUCTION.
MUST BE ABLE TO WORK UNDER THE SUN AND CAN STAND FOR PROLONGED PERIOD OF TIME AND PHYSICALLY CAN LIFT AT LEAST 50LBS.
WILLING TO WORK IN FLEXIBLE SHIFTS, DAYS, EVENINGS, WEEKENDS AND HOLIDAY</t>
  </si>
  <si>
    <t>P-500-22304-558621</t>
  </si>
  <si>
    <t>COOK, KITCHEN HELPER</t>
  </si>
  <si>
    <t xml:space="preserve">	All interested applicants (U.S citizens, Foreign workers, etc) must be able to obtain a Food Handler Certification.
	Knowledge and experience in hotel/resort as a Cook is an advantage. 
	Willing to work in flexible shifts, days, evenings, weekends and holiday. 
</t>
  </si>
  <si>
    <t>P-500-22304-558631</t>
  </si>
  <si>
    <t>KNOWLEDGE IN MAINTAINING AND MONITORING DAILY OPERATIONS OF THE GOLF COURSE GREENS.
REQUIRES ADVANCED KNOWLEDGE OF AGRONOMY AND TURF GRASS MANAGEMENT PRACTICES, HANDLING CHEMICALS SUCH AS FERTILIZERS AND PESTICIDES.
KNOWLEDGE OF SAFE, EFFICIENT MECHANICAL EQUIPMENT SUCH AS TRACTORS, MOWERS, AND DRIVING OTHER MOTORIZED EQUIPMENT. KNOWLEDGE OF DIESEL
AND GASOLINE EQUIPMENT OPERATIONS. MUST HAVE THE ABILITY TO IMAGINE HOW PLANTS, TREES, SHRUBS, AND OTHER LANDSCAPING WILL LOOK BEFORE
PLANTING OR TRIMMING. MUST BE ABLE TO WORK UNDER THE SUN AND CAN STAND FOR PROLONGED PERIOD OF TIME AND CAPABLE OF LIFTING AT LEAST 50LBS.
MUST BE ABLE TO ACQUIRE PESTICIDE APPLICATOR LICENSE PRIOR END OF THE TRAINING PERIOD. MUST BE CAPABLE OF DOING PHYSICALLY STRENUOUS LABOR
FOR LONG HOURS, OCCASIONALLY IN EXTREME HEAT OR COLD. WILLING TO WORK IN FLEXIBLE SHIFTS, DAYS, EVENING, WEEKENDS AND HOLIDAYS</t>
  </si>
  <si>
    <t>P-500-22304-558637</t>
  </si>
  <si>
    <t xml:space="preserve">GREENSKEEPING SUPERVISOR </t>
  </si>
  <si>
    <t>1. KNOWLEDGE OF HORTICULTURE, AGRONOMY AND TURF MANAGEMENT IS A PLUS.
2.ABILITY TO UNDERSTAND GOLF FACILITY CONSTRUCTION PRINCIPLES, PRACTICES AND METHODS.
3.ABILITY TO UNDERSTAND RULES AND STRATEGIES OF THE GAME OF GOLF.
4.ABILITY TO SUPERVISE SUBORDINATES.
5.ABILITY TO WORK ON EMAIL COMMUNICATION OR COMPUTER LITERACY.
6.ABILITY TO UNDERSTAND, SPEAK, READ ENGLISH SAFETY INSTRUCTION.
7.MUST BE ABLE TO WORK UNDER THE SUN AND CAN STAND FOR PROLONGED PERIOD OF TIME AND PHYSICALLY CAN LIFT AT LEAST 50LBS.
8.WILLING TO WORK IN FLEXIBLE SHIFTS, DAYS, EVENING, WEEKENDS AND HOLIDAYS</t>
  </si>
  <si>
    <t>P-500-22304-558645</t>
  </si>
  <si>
    <t xml:space="preserve">FRONT OFFICE AGENT </t>
  </si>
  <si>
    <t>1.TAKE SOCIAL PERCEPTIVENESS BY UNDERSTANDING GUEST REACTIONS IN A SITUATION. OPEN TO TALK TO GUEST TO CONVEY INFORMATION EFFECTIVELY.
SERVICE ORIENTED PERSON TRYING TO OFFER OR LOOK FOR
2.RESOURCES TO HELP AND ASSIST GUEST IN THE HOTEL. TIME MANAGEMENT, ATTENTIVE AND ACTIVE IN LISTENING GUEST QUESTIONS AS APPROPRIATE.
KNOWLEDGE IN COMPLEX PROBLEM OR GUEST COMPLAIN
3.SOLVING, COORDINATING AND CREATING JUDGMENT IN DECISION MAKING.
4.MUST BE ABLE TO WRITE AND READ ENGLISH LANGUAGE, KNOWLEDGE IN HOTEL OPERA SYSTEM IS AN ADVANTAGE.
5.COMPUTER PROFICIENCY AND EMAIL COMMUNICATION SKILLS IS REQUIRED.
6.BE ABLE TO STAND FOR PROLONGED PERIOD OF TIME.
7.WILLING TO WORK IN FLEXIBLE SHIFTS, DAYS, EVENINGS, WEEKENDS AND HOLIDAYS</t>
  </si>
  <si>
    <t>P-500-22304-558652</t>
  </si>
  <si>
    <t>HOTEL HOUSEKEEPER</t>
  </si>
  <si>
    <t>KNOWLEDGE OF PRINCIPLES AND PROCESS FOR PROVIDING CUSTOMER AND PERSONAL SERVICES INCLUDING HANDLING LARGE GROUP OF ARRIVAL AND
DEPARTURE. MUST BE ABLE TO UNDERSTAND AND FOLLOW INSTRUCTIONS AND OUT TASK IN ORDER AND WILLING TO WORK UNDER PRESSURE WITH THE SPECIFIED
NUMBER OF ROOMS OR DUTIES ASSIGNED IN EVERY DAY. HAS THE ABILITY TO BE EXTENT FLEXIBILITY THAT INCLUDES BENDING, TWISTING AND LIFTING. COMPUTER
LITERACY IS PREFERRED BUT NOT REQUIRED... BE ABLE TO STAND FOR PROLONGED PERIOD OF TIME AND MUST POSSESS A FRIENDLY AND GOOD MANNERS.
WILLING TO WORK IN FLEXIBLE SHIFTS, DAYS, EVENINGS, WEEKEND AND HOLIDAYS</t>
  </si>
  <si>
    <t>P-500-22304-558658</t>
  </si>
  <si>
    <t>SERVICE CREW</t>
  </si>
  <si>
    <t>1.ALL INTERESTED APPLICANTS (U.S CITIZEN, FOREIGN WORKER, ETC. ) MUST BE ABLE TO OBTAIN A FOOD HANDLER CERTIFICATION AND ALCOHOL LICENSE
CERTIFICATION.
2.ACTIVE LISTENING BY GIVING FULL UNDERSTANDING TO WHAT THE CUSTOMER NEEDS BY WRITING FOOD ORDERS ON ORDER SLIPS, MEMORIZE ORDERS, OR
ENTER ORDERS INTO COMPUTERS FOR TRANSMITTAL TO KITCHEN STAFF.
3.SERVICE ORIENTED PERSON IN A WAY LIKE PREPARING CHECKS THAT ITEMIZE AND TOTAL MEAL COSTS.
4.SPEAKING EFFECTIVELY IN PRESENTING MENUS TO PATRONS AND ANSWER QUESTIONS ABOUT MENU ITEMS, MAKING RECOMMENDATIONS UPON REQUEST.
5.SOCIAL PERCEPTIVENESS AND MONITORING SKILLS BY CHECKING CUSTOMERS TO ENSURE THAT THEY ARE ENJOYING THEIR MEALS AND TAKE ACTION TO
CORRECT ANY PROBLEMS.
6.COORDINATION BETWEEN THE KITCHEN AND THE DINING ROOM AND ANY CUSTOMER SERVICE ISSUES.
7.WILLING TO WORK IN FLEXIBLE SHIFTS, DAYS, EVENINGS, WEEKENDS AND HOLIDAYS.</t>
  </si>
  <si>
    <t>P-500-22304-558663</t>
  </si>
  <si>
    <t xml:space="preserve">BAKING SUPERVISOR </t>
  </si>
  <si>
    <t>P-500-22304-558753</t>
  </si>
  <si>
    <t>DENTISTRY OR RELATED FIELD</t>
  </si>
  <si>
    <t>DENTAL THERAPIST</t>
  </si>
  <si>
    <t>MUST HAVE A CNMI DENTAL THERAPIST LICENSE</t>
  </si>
  <si>
    <t>P-500-22305-560602</t>
  </si>
  <si>
    <t>BS IN COMPUTER SCIENCE</t>
  </si>
  <si>
    <t>TECHNICAL SUPPORT SPECIALIST, SYSTEMS ENGINEER</t>
  </si>
  <si>
    <t>P-500-22305-560607</t>
  </si>
  <si>
    <t xml:space="preserve">Bell Attendant. Baggage Porter, Front Desk Clerk </t>
  </si>
  <si>
    <t xml:space="preserve">	KNOWLEDGE OF PRINCIPLE AND PROCESSES FOR PROVIDING EXCELLENT PERSONAL AND CUSTOMER SERVICE SKILLS. INCLUDING HANDLING LARGE GROUP OF
ARRIVALS AND DEPARTURES.
	EXCELLENT INTERPERSONAL SKILLS WITH A POSITIVE ATTITUDE, PROFESSIONAL, NEAT AND WELL-GROOMED AT ALL TIMES. MUST BE ABLE UNDERSTAND, READ AND
WRITE ENGLISH LANGUAGE.
	SPEAKING ADDITIONAL LANGUAGE IS A PLUS.
	COMPUTER PROFICIENCY AND EMAIL COMMUNICATION SKILLS IS REQUIRED.
	BE ABLE TO STAND FOR PROLONGED PERIOD OF TIME.
	JOB MAY REQUIRE BENDING AND LIFTING AT LEAST 50LBS.
	WILLING TO WORK IN FLEXIBLE SHIFTS, DAYS, EVENINGS, WEEKEND AND HOLIDAYS.</t>
  </si>
  <si>
    <t>Concierges</t>
  </si>
  <si>
    <t>P-500-22305-560614</t>
  </si>
  <si>
    <t xml:space="preserve">MAJOR IN CULINARY </t>
  </si>
  <si>
    <t>SOUS CHEF, HEAD COOK</t>
  </si>
  <si>
    <t>EXCELLENT INTERPERSONAL SKILLS WITH A POSITIVE ATTITUDE, PROFESSIONAL, NEAT AND WELL-GROOMED AT ALL TIMES. BE ABLE TO STAND FOR PROLONGED
PERIOD OF TIME. FULL UNDERSTANDING OF LICENSING RESPONSIBILITIES AND ENVIRONMENTAL HEALTH STANDARDS. MUST HAVE PASSION IN COOKING, CREATIVE
AND DEDICATED TEAM PLAYER WITH THE ABILITY TO WORK IN A MULTICULTURAL ENVIRONMENT AND UNDER DIFFICULT CONDITION. AND A HIGHLY QUALIFIED IN
PREPARING VARIETY OF FOOD AND KNOWLEDGEABLE IN PROCESSING AND FOOD PRODUCTION SUCH AS SALAD, APPETIZERS, DESSERT AND MAIN ENTREES. WORK
EXPERIENCE AT A LUXURY HOTEL RESTAURANT PREFERRED. HAVE BASIC SKILLS IN MONITORING, COORDINATION, MANAGEMENT OF PERSONNEL RESOURCES, AND
SOCIAL PERCEPTIVENESS. MUST BE ABLE TO OBTAIN A FOOD HANDLER CERTIFICATION. FLEXIBLE AND WILLING TO ASSIST AS NEEDED TO ENSURE ALL RESTAURANT
STANDARDS ARE MET. BE ABLE AND WILLING TO WORK IN FLEXIBLE SHIFTS, DAYS, EVENING, NIGHT, WEEKEND AND HOLIDAYS</t>
  </si>
  <si>
    <t>P-500-22305-560618</t>
  </si>
  <si>
    <t>DISHWASHERS, STEWARD</t>
  </si>
  <si>
    <t>P-500-22305-560625</t>
  </si>
  <si>
    <t xml:space="preserve">LANDSCAPER </t>
  </si>
  <si>
    <t>P-500-22305-560628</t>
  </si>
  <si>
    <t xml:space="preserve">POOL ATTENDANT </t>
  </si>
  <si>
    <t xml:space="preserve">	KNOWLEDGE OF PRINCIPLE AND PROCESSES FOR PROVIDING EXCELLENT PERSONAL AND CUSTOMER SERVICE SKILLS. INCLUDING HANDLING LARGE GROUP OF
SWIMMERS.
	MUST BE A SWIMMER.
	EXCELLENT INTERPERSONAL SKILLS WITH A POSITIVE ATTITUDE, PROFESSIONAL, NEAT AND WELL-GROOMED AT ALL TIMES. MUST BE ABLE UNDERSTAND, READ AND
WRITE ENGLISH LANGUAGE.
	SPEAKING ADDITIONAL LANGUAGE IS A PLUS.
	BE ABLE TO STAND FOR PROLONGED PERIOD OF TIME.
	JOB MAY REQUIRE BENDING AND LIFTING AT LEAST 50LBS.
	CPR/FIRST CERTIFIED IS REQUIRED.
	SWIMMING TEST MAYBE REQUIRED PRIOR FINAL CONFIRMATION OF THE EMPLOYMENT.
	WILLING TO WORK IN FLEXIBLE SHIFTS, DAYS, EVENINGS, WEEKEND AND HOLIDAYS.
</t>
  </si>
  <si>
    <t>P-500-22305-560630</t>
  </si>
  <si>
    <t>AUTOMOBILE MECHANIC</t>
  </si>
  <si>
    <t>MUST BE KNOWLEDGEABLE IN THE MECHANISM, REPAIRING AND MAINTAINING MECHANICAL EQUIPMENT, GASOLINE AND
DIESEL ENGINE, REPAIRING ALL INTERNAL COMBUSTIBLE ENGINE, GOLF CARTS, GOLF COURSE EQUIPMENT AND COMPANY AUTOMOBILE. MUST BE ABLE TO WORK
UNDER PRESSURE AND MEET DEADLINES AND CAN BE ABLE TO MANAGE. WILLING TO WORK IN FLEXIBLE SHIFTS, DAYS, EVENINGS, WEEKEND AND HOLIDAYS.</t>
  </si>
  <si>
    <t>P-500-22305-560636</t>
  </si>
  <si>
    <t xml:space="preserve">FOOD &amp; BEVERAGE SUPERVISOR </t>
  </si>
  <si>
    <t>MUST POSSESS PASSION FOR QUALITY AND SERVICE EXCELLENCE. KNOWLEDGEABLE IN PRINCIPLES, PROCESSES FOR PROVIDING CUSTOMER AND PERSONAL
SERVICES, INCLUDING CUSTOMER NEEDS ASSESSMENT, MEETING QUALITY STANDARD FOR SERVICES, EVALUATION OF CUSTOMER SATISFACTION. FULL
UNDERSTANDING OF LICENSING RESPONSIBILITIES AND ENVIRONMENT HEALTH STANDARDS AND ALCOHOL LICENSING GUIDELINES. EXCELLENT INTERPERSONAL
SKILLS WITH A POSITIVE ATTITUDE, PROFESSIONAL, NEAT AND WELL-GROOMED AT ALL TIMES. HIGHLY QUALIFIED IN SUPERVISING RESTAURANT POINT OF SALE, AND
MUST HAVE THE KNOWLEDGE IN SUPERVISING WAIT STAFF AND PEERS. BE ABLE TO STAND FOR PROLONGED PERIOD OF TIME. COMPUTER LITERATE AND CAN COPE
UP WITH A RESTAURANT SYSTEM USING TECHNOLOGY. ACQUIRED HOSPITALITY RELATED PROGRAM AND SPEAKING ADDITIONAL IS AN ASSET. ALL INTERESTED
APPLICANTS (U.S CITIZEN, FOREIGN WORKER, ETC.) MUST BE ABLE TO ACQUIRE FOOD HANDLER CERTIFICATION AND ALCOHOL BEVERAGE SERVER CERTIFIED.
EXCELLENT INTERPERSONAL SKILLS A "PEOPLE PERSON", EXCELLENT IN HANDLING LARGE GROUP OF CUSTOMERS. BE ABLE TO STAND FOR PROLONGED PERIOD OF
TIME. ABILITY TO SPEAK, READ AND WRITE ANY OTHER LANGUAGE IS A PLUS. WILLING TO WORK IN FLEXIBLE SHIFTS, DAYS, EVENINGS, WEEKEND AND HOLIDAYS.</t>
  </si>
  <si>
    <t>P-500-22305-560697</t>
  </si>
  <si>
    <t>Skilled knife work
Deep understanding of food safety and regulations
Trained in ordering and stocking with great organization skills
Excellent time management and attention to detail
Strong communication and team-building skills
Willingness to learn and passion for food</t>
  </si>
  <si>
    <t>P-500-22305-560706</t>
  </si>
  <si>
    <t>FRONT DESK CLERK/RECEPTIONIST</t>
  </si>
  <si>
    <t>Time management skills, communication skills, well-versed in database management, Microsoft Office, cloud-based tools and receptionist software, including VoIP, scheduling, and visitor and delivery management, and excellent customer service skills.</t>
  </si>
  <si>
    <t>Receptionists and Information Clerks</t>
  </si>
  <si>
    <t>P-500-22305-560708</t>
  </si>
  <si>
    <t xml:space="preserve">Excellent physical stamina
Ability to lift up to 50 pounds
Exceptional communication skills, both written and verbal
Ability to meet strict deadlines
Ability to operate tractors and heavy machinery
</t>
  </si>
  <si>
    <t>P-500-22305-560713</t>
  </si>
  <si>
    <t xml:space="preserve">Knowledge of Food Service Regulations
Lifting
Verbal and Written Communication
Flexibility
Basic Math
Customer Service
Resolve Conflict
Teamwork
Persistence
Energy Level
Selling to Customers Needs
Thoroughness
Professionalism
Client Relationships
Decision Making 
Problem Sensitivity 
Multi-tasking 
Circumstantial Awareness
Well-versed in Point-of Sale Systems 
Patience 
Agility </t>
  </si>
  <si>
    <t>P-500-22305-560714</t>
  </si>
  <si>
    <t>Excellent communication and organizational skills
Strong interpersonal and problem-solving abilities
Highly responsible &amp; reliable
Ability to work cohesively as part of a team</t>
  </si>
  <si>
    <t>P-500-22305-560740</t>
  </si>
  <si>
    <t>KNOWLEGEABLE IN MICROSOFT OFFICE SUCH AS POWER POINT, EXCEL AND MS WORD.</t>
  </si>
  <si>
    <t>P-500-22305-560748</t>
  </si>
  <si>
    <t>Computer Operation</t>
  </si>
  <si>
    <t>Computer related such as encoding and program installing.</t>
  </si>
  <si>
    <t>P-500-22305-560752</t>
  </si>
  <si>
    <t>P-500-22305-560921</t>
  </si>
  <si>
    <t>REFRIGERATION TECHNICIAN</t>
  </si>
  <si>
    <t>At least 12 months working experience as a Refrigeration Technician. High school graduate or equivalent. Must know how to repair electrical and mechanical system. Knowledge in diagnosing and troubleshooting. Must know all types of refrigerants. Know how to make A/C ducting and can read electrical diagram and layout. Willing to work flexible schedule. Do other related duties as assigned.</t>
  </si>
  <si>
    <t>P-500-22305-560941</t>
  </si>
  <si>
    <t>At least 12 months working experience as maintenance worker. High school graduate or equivalent. knowledge in troubleshooting and repair of electrical and mechanical problems of machines. Know how to read electrical diagram and lay out plan. Know how to operate power tools. Willing to work flexible schedule. Do other related duties as assigned.</t>
  </si>
  <si>
    <t>P-500-22305-560957</t>
  </si>
  <si>
    <t>MAINTENANCE WORKER (BUILDING MAINTENANCE AND REPAIR SERVICES)</t>
  </si>
  <si>
    <t>High School graduate or equivalent. At least 12 months working experience as Maintenance Worker. Know how to repair door, door locks, windows. Can read electrical diagram and can troubleshoot electrical problems. Knowledge in carpentry, welding works, and masonry works. Willing to work flexible schedule. Do other related duties as assigned.</t>
  </si>
  <si>
    <t>P-500-22306-563419</t>
  </si>
  <si>
    <t>Chemical Applicator</t>
  </si>
  <si>
    <t xml:space="preserve">Must be able to wear personal protective equipment such as coverall, safety googles, mask and gloves for longer period. Must be able to work outdoors, exposed to natures elements for extended periods of time. Must be able to lift at least 50lbs. Must be able to work early mornings, weekends, and holidays. </t>
  </si>
  <si>
    <t>Pesticide Handlers, Sprayers, and Applicators, Vegetation</t>
  </si>
  <si>
    <t>P-500-22307-565866</t>
  </si>
  <si>
    <t>SALESPERSON</t>
  </si>
  <si>
    <t>Knowledge of use of electronic scanners, cash registers or related equipment. Requires being pleasant with customers, cooperative, reliable, responsible and calm even in very difficult situations.</t>
  </si>
  <si>
    <t>P-500-22307-566045</t>
  </si>
  <si>
    <t>Auto Technician &amp; Mechanic</t>
  </si>
  <si>
    <t>At least 24 months experience required, high school diploma required or equivalent. Must have the ability to diagnose and repair vehicles and follow safety instructions and directions. Proficient with hand tools and other equipment. Must have the ability for record keeping and maintaining inventory. Ability to require a great deal of manual dexterity and fine motor skills. Must be able to work on weekends and holidays on short notice.</t>
  </si>
  <si>
    <t>P-500-22308-568677</t>
  </si>
  <si>
    <t xml:space="preserve">At least 12 months working experience.  Skilled in the use of power tools and hand tools.  Willing to work flexible hours including weekends and holidays.  </t>
  </si>
  <si>
    <t>P-500-22308-568694</t>
  </si>
  <si>
    <t>Holder of a B.S.  Accountancy degree with a  minimum of 48 months of working experience.  Proficiency in MS office (Word, Excel, Adobe, etc.).   Knowledge of Peachtree Accounting software.  Must be trustworthy and able to work under time pressure;  Must work flexible hours.</t>
  </si>
  <si>
    <t>P-500-22308-568714</t>
  </si>
  <si>
    <t>Accounting assistant/bookkeeper</t>
  </si>
  <si>
    <t>Any associates degree in accountancy with two years of relevant work experience;  Knowledge in Peachtree Accounting software.  Knowledge in microsoft excel and word, adobe, etc.</t>
  </si>
  <si>
    <t>P-500-22308-568737</t>
  </si>
  <si>
    <t>CONSTRUCTION MANAGER</t>
  </si>
  <si>
    <t xml:space="preserve"> Construction Managers need to have exceptional communication skills. Managing a construction project is no mean feat...Leadership. Commitment.</t>
  </si>
  <si>
    <t>Construction Managers</t>
  </si>
  <si>
    <t>P-500-22308-568771</t>
  </si>
  <si>
    <t>="Travel frequency is around 3-6 travels per year.  It involves travel with the players for international competitions sanctions by the East Asian Football Federation (EAFF) and Asian Football Confederation (AFC) and for all other  off-island training camps of National Teams."</t>
  </si>
  <si>
    <t>Nursing, Physical Therapy</t>
  </si>
  <si>
    <t>Physiotherapy, Sports/Physical Therapy</t>
  </si>
  <si>
    <t>Physiotherapist, Sports Therapist, or Physical Therapist</t>
  </si>
  <si>
    <t>Bachelor's Degree in Science in Physical Therapy, Bachelor of Nursing or related Degree required. At least 2 years of Work experience in the related field is required. Knowledge of human behaviors and performance. Must know the methods &amp; procedures for diagnosis, treatment, and rehabilitation of physical &amp; mental dysfunctions. Must have knowledge in Kinesiology and other means of treatment for medical sports and injuries.  The job requires travel during training camps and competitions to:  Dededo, Guam (Postal Code 96912), Bunkyo-ku Tokyo, Japan (Postal Code 113 8311) and Muntinlupa, Philippines (1781)</t>
  </si>
  <si>
    <t>P-500-22309-571299</t>
  </si>
  <si>
    <t>any related courses such as nursing</t>
  </si>
  <si>
    <t>Dental Assistant</t>
  </si>
  <si>
    <t>Experience in dental assisting and management of medical or dental emergencies. Familiar with CDT Code and Dental Nomenclature.</t>
  </si>
  <si>
    <t>P-500-22309-571399</t>
  </si>
  <si>
    <t>REPAIR AND MAINTENANCE WORKER</t>
  </si>
  <si>
    <t>P-500-22309-571406</t>
  </si>
  <si>
    <t>At least 12 months working experience as maintenance worker. High School Graduate or equivalent. Knowledge in troubleshooting and repair of electrical and mechanical problems of machines. Know how to read electrical diagram and lay out plan. Know how to operate power tools. Willing to work flexible schedule. Do other related duties as assigned.</t>
  </si>
  <si>
    <t>P-500-22309-571407</t>
  </si>
  <si>
    <t>At least 6 months working experience as cook. Must know to cook variety of food. At least know how to cook Korean foods. Know how to rotate food stock. Clean food preparation area and sanitized utensils at the end of shift. Willing to work flexible schedule. Do other related duties as assigned.</t>
  </si>
  <si>
    <t>P-500-22309-571409</t>
  </si>
  <si>
    <t>UPHOLSTERER</t>
  </si>
  <si>
    <t>At least 12 months experience as Upholsterer. High School Graduate or equivalent. Know how to cut fabric and leather materials and design to fit and cover work pieces. Know how to operate sewing machine or sew by hand, lay out, cut, fabricate and install upholstery. Discuss upholstery fabric, color, and style to customer and provide estimate. Willing to work flexible schedule. Do other related duties as assigned.</t>
  </si>
  <si>
    <t>Upholsterers</t>
  </si>
  <si>
    <t>P-500-22310-571499</t>
  </si>
  <si>
    <t>Automotive painter</t>
  </si>
  <si>
    <t>6 months experience as automotive painter</t>
  </si>
  <si>
    <t>Automotive Body and Related Repairers</t>
  </si>
  <si>
    <t>P-500-22310-571503</t>
  </si>
  <si>
    <t>FARM</t>
  </si>
  <si>
    <t xml:space="preserve">At least 3 months working continuous experience in related position
</t>
  </si>
  <si>
    <t>P-500-22310-571505</t>
  </si>
  <si>
    <t>laundromat Attendant</t>
  </si>
  <si>
    <t>At least 6 months of working continuous experience in a related position.</t>
  </si>
  <si>
    <t>P-500-22310-571611</t>
  </si>
  <si>
    <t>P-500-22311-571633</t>
  </si>
  <si>
    <t xml:space="preserve">12 MONTHS OF EXPERIENCED. HAS UNDERGONE MINUMUM OF 32 HOURS TRAINING ON HEALTH AND SAFETY REQUIRED AND PROVIDED BY THE CNMI CHILDCARE DEVELOPMENT FUND, ADEQUATE SKILL IN WRITTEN AND ORAL ENGLISH LANGUAGE. </t>
  </si>
  <si>
    <t>P-500-22311-571681</t>
  </si>
  <si>
    <t>Automotive Mechanic</t>
  </si>
  <si>
    <t>REPAIRING MACHINES OR SYSTEMS USING THE NEEDED TOOLS. PERFORMING ROUTINE MAINTENANCE ON EQUIPMENT AND DETERMINING WHEN AND WHAT KIND OF MAINTENANCE IS NEEDED. WATCHING GAUGES, DIALS, OR OTHER INDICATORS TO MAKE SURE A MACHINE IS WORKING PROPERLY. DETERMINING CAUSES OF OPERATING ERRORS AND DECIDING WHAT TO DO ABOUT IT. USING LOGIC AND REASONING TO IDENTIFY THE STRENGTHS AND WEAKNESSES OF ALTERNATIVE SOLUTIONS, CONCLUSIONS OR APPROACHES TO PROBLEMS. CONTROLLING OPERATIONS OF EQUIPMENT OR SYSTEMS.</t>
  </si>
  <si>
    <t>P-500-22311-571756</t>
  </si>
  <si>
    <t>Must know the duties and responsibilities of a Bartenders</t>
  </si>
  <si>
    <t>P-500-22311-571764</t>
  </si>
  <si>
    <t>Irrigation Technician</t>
  </si>
  <si>
    <t xml:space="preserve">With atleast 3 months experience in operating and maintaining golf course irrigation system. -	Must be able to work outdoors, exposed to natures elements for extended periods of time. Must be able to lift at least 50lbs. Must be able to work early mornings, weekends, and holidays. </t>
  </si>
  <si>
    <t>P-500-22311-571865</t>
  </si>
  <si>
    <t>Rolling Machine Setter Operator and Tender</t>
  </si>
  <si>
    <t>Rolling Machine Setters, Operators, and Tenders, Metal and Plastic</t>
  </si>
  <si>
    <t>P-500-22311-571866</t>
  </si>
  <si>
    <t>Operating Engineers &amp; Other construction Equipment Operator</t>
  </si>
  <si>
    <t>P-500-22311-571871</t>
  </si>
  <si>
    <t>Molding and Casting Worker</t>
  </si>
  <si>
    <t>Molders, Shapers, and Casters, Except Metal and Plastic</t>
  </si>
  <si>
    <t>P-500-22311-571878</t>
  </si>
  <si>
    <t>Mason</t>
  </si>
  <si>
    <t>P-500-22311-571881</t>
  </si>
  <si>
    <t>Maintenance and Repair worker</t>
  </si>
  <si>
    <t>P-500-22311-571883</t>
  </si>
  <si>
    <t>Machine Feeders</t>
  </si>
  <si>
    <t>Machine Feeders and Offbearers</t>
  </si>
  <si>
    <t>P-500-22311-571885</t>
  </si>
  <si>
    <t>Landscaper</t>
  </si>
  <si>
    <t>P-500-22311-571886</t>
  </si>
  <si>
    <t>ABILITY TO FOLLOW INSTRUCTIONS FROM SUPERVISORS OR SENIORS MAINTENANCE WORKERS. KNOWLEDGE OF GENERAL CARPENTRY AND REPAIR. ABILITY TO USE
HAND TOOLS AND POWER TOOLS. EXCELLENT ORGANIZATIONAL AND TIME MANAGEMENT SKILLS. PROLONGED PERIODS STANDING AND WALKING. MUST BE
PHYSICALLY ABLE TO CLIMB LADDERS, BEND OR CRAWL INTO AWKWARD SPACES. MUST BE ABLE TO LIFT UP TO 70LBS AT A TIME</t>
  </si>
  <si>
    <t>P-500-22311-571890</t>
  </si>
  <si>
    <t>P-500-22311-571892</t>
  </si>
  <si>
    <t>Heavy and Tractor Trailer Truck Driver</t>
  </si>
  <si>
    <t>required operating license</t>
  </si>
  <si>
    <t>P-500-22311-571895</t>
  </si>
  <si>
    <t>conveyors, operators and tenders</t>
  </si>
  <si>
    <t>P-500-22311-571909</t>
  </si>
  <si>
    <t>construction laborer</t>
  </si>
  <si>
    <t>P-500-22311-571917</t>
  </si>
  <si>
    <t>Engineering</t>
  </si>
  <si>
    <t>Civil Engineering Technicians</t>
  </si>
  <si>
    <t>P-500-22311-571932</t>
  </si>
  <si>
    <t>Carpenter</t>
  </si>
  <si>
    <t>Carpenters</t>
  </si>
  <si>
    <t>P-500-22311-573685</t>
  </si>
  <si>
    <t>Automotive Detailer</t>
  </si>
  <si>
    <t>High school diploma required. Attention to detail. Flexible availability: mornings/afternoons/evenings, weekends and holidays. Ability to bend, twist, stand, and work outside for long periods of time; ability to lift and/or move items up to 25 lbs.</t>
  </si>
  <si>
    <t>Cleaners of Vehicles and Equipment</t>
  </si>
  <si>
    <t>P-500-22312-573933</t>
  </si>
  <si>
    <t>AUTO BODY TECHNICIAN  OR RELATED EXPERIENCE..</t>
  </si>
  <si>
    <t>PROFICIENT IN CDK-ERO PROGRAM. MUST HAVE A VALID CNMI-ISSUED DRIVER'S LICENSE.</t>
  </si>
  <si>
    <t>P-500-22312-573937</t>
  </si>
  <si>
    <t>AUTO DEALERSHIP EXPERIENCE IN VEHICLE LOT MANAGEMENT</t>
  </si>
  <si>
    <t>MUST HAVE A VALID CNMI-ISSUED DRIVER'S LICENSE AND MUST BE ABLE TO DRIVE BOTH AUTOMATIC AND MANUAL CAR SHIFT.</t>
  </si>
  <si>
    <t>P-500-22312-573945</t>
  </si>
  <si>
    <t>AUTO PARTS SALES EXPERIENCE</t>
  </si>
  <si>
    <t>MUST HAVE A VALID CNMI-ISSUED DRIVER'S LICENSE.</t>
  </si>
  <si>
    <t>Parts Salespersons</t>
  </si>
  <si>
    <t>P-500-22312-573946</t>
  </si>
  <si>
    <t>GENERAL MAINTENANCE WORK IN AUTO DEALERSHIP</t>
  </si>
  <si>
    <t>MUST HAVE A CNMI ISSUED DRIVER'S LICENSE; GENERAL KNOWLEDGE OF OCCUPATIONAL HAZARDS AND SAFETY; ABILITY TO USE HAND TOOLS AND POWER TOOLS.</t>
  </si>
  <si>
    <t>P-500-22312-574009</t>
  </si>
  <si>
    <t>CLEANER, JANITOR AND HOUSEKEEPING</t>
  </si>
  <si>
    <t>CLEANERS, JANITORS, AND HOUSEKEEPING</t>
  </si>
  <si>
    <t>P-500-22312-574101</t>
  </si>
  <si>
    <t>Must have at least 12 months of work experience as an Accounting Clerk.</t>
  </si>
  <si>
    <t>P-500-22312-574105</t>
  </si>
  <si>
    <t>Tractor Driver or Heavy Equipment Drivers</t>
  </si>
  <si>
    <t>Must be familiar with places and streets in Saipan to perform tasks and save time for deliveries.</t>
  </si>
  <si>
    <t>P-500-22312-574151</t>
  </si>
  <si>
    <t>Welding and Soldering Machine Operator</t>
  </si>
  <si>
    <t>Must have minimum of 12 months work experience.</t>
  </si>
  <si>
    <t>P-500-22313-576489</t>
  </si>
  <si>
    <t>Aerobics Instructor, Group Exercise Instructor</t>
  </si>
  <si>
    <t>Performing physical activities that require considerable use of your arms and legs and moving your whole body, such as climbing, lifting, balancing, walking, stooping, and handling materials.</t>
  </si>
  <si>
    <t>Exercise Trainers and Group Fitness Instructors</t>
  </si>
  <si>
    <t>P-500-22313-576671</t>
  </si>
  <si>
    <t>B.S IN HOTEL AND RESTAURANT MANAGEMENT</t>
  </si>
  <si>
    <t>RESTAURANT SUPERVISOR</t>
  </si>
  <si>
    <t>MUST POSSESS PASSION FOR QUALITY AND SERVICE EXCELLENCE. KNOWLEDGEABLE IN PRINCIPLES, PROCESSES FOR PROVIDING CUSTOMER AND PERSONAL SERVICES, INCLUDING CUSTOMER NEEDS ASSESSMENT, MEETING QUALITY STANDARD FOR SERVICES, EVALUATION OF CUSTOMER SATISFACTION. FULL UNDERSTANDING OF LICENSING RESPONSIBILITIES AND ENVIRONMENT HEALTH STANDARDS AND ALCOHOL LICENSING GUIDELINES. EXCELLENT INTERPERSONAL SKILLS WITH A POSITIVE ATTITUDE, PROFESSIONAL, NEAT AND WELL-GROOMED AT ALL TIMES. HIGHLY QUALIFIED IN SUPERVISING RESTAURANT POINT OF SALE, AND MUST HAVE THE KNOWLEDGE IN SUPERVISING WAIT STAFF AND PEERS. BE ABLE TO STAND FOR PROLONGED PERIOD OF TIME. COMPUTER LITERATE AND CAN COPE UP WITH A RESTAURANT SYSTEM USING TECHNOLOGY. ACQUIRED HOSPITALITY RELATED PROGRAM AND SPEAKING ADDITIONAL IS AN ASSET. ALL INTERESTED APPLICANTS (U.S CITIZEN, FOREIGN WORKER, ETC.) MUST BE ABLE TO ACQUIRE FOOD HANDLER CERTIFICATION AND ALCOHOL BEVERAGE SERVER CERTIFIED. EXCELLENT INTERPERSONAL SKILLS A "PEOPLE PERSON", EXCELLENT IN HANDLING LARGE GROUP OF CUSTOMERS. BE ABLE TO STAND FOR PROLONGED PERIOD OF TIME. ABILITY TO SPEAK, READ AND WRITE ANY OTHER LANGUAGE IS A PLUS. KNOWLEDGE IN HANDLING AND MONITORING THE DEPARTMENT INVENTORY AND STOCK IS AN ADVANTAGE. WILLING TO WORK IN FLEXIBLE SHIFTS, DAYS, EVENINGS, WEEKEND AND HOLIDAYS.</t>
  </si>
  <si>
    <t>P-500-22313-576702</t>
  </si>
  <si>
    <t>Can operate maintenance and repair equipment.</t>
  </si>
  <si>
    <t>P-500-22313-576709</t>
  </si>
  <si>
    <t>P-500-22313-576714</t>
  </si>
  <si>
    <t>P-500-22313-577280</t>
  </si>
  <si>
    <t>Request for (6) months work experience as a manicurist &amp; pedicurist</t>
  </si>
  <si>
    <t>WORK SCHEDULES AS FOLLOW:
10:00 AM TO  1:00PM; 2:00PM TO 6:00PM
7 HOURS A DAY.
MONDAY THROUGN FRIDAY, 35 HOURS PER WEEK.</t>
  </si>
  <si>
    <t>P-500-22313-577500</t>
  </si>
  <si>
    <t>Request for 18 months work experience or related as a masseuse/masseur</t>
  </si>
  <si>
    <t>WORK SCHEDULE AS FOLLOW:
10:00AM TO 1:00PM, 2:00 PMTO 6:00PM
 7 HOURS A DAY, MONDAY THROUGH FRIDAY, 35 HOURS PER WEEK.</t>
  </si>
  <si>
    <t>P-500-22314-579061</t>
  </si>
  <si>
    <t xml:space="preserve">1. KNOWLEDGE OF MINOR MECHANICAL ISSUES OR EQUIPMENT.
2. REQUIRED MEDICAL CERTIFICATE NEEDED BEFORE HIRING AND THIS WILL BE APPLIED EQUALLY TO U.S. WORKERS AND CW-1 WORKERS.
3. MUST HAVE OWN TRANSPORTATION.
</t>
  </si>
  <si>
    <t>P-500-22314-579078</t>
  </si>
  <si>
    <t>The applicant must complete a four (4) years of college education having a Bachelor Degree  Major in Accounting and/or Accountancy. A considerable amount of work-related skills, knowledge, or experience and worked at least a minimum of two (2) years in accounting to be qualified.</t>
  </si>
  <si>
    <t>P-500-22314-579109</t>
  </si>
  <si>
    <t>MASON</t>
  </si>
  <si>
    <t xml:space="preserve">MUST HAVE EXPERIENCE IN MASONRY AND HANDLING TOOLS AND EQUIPMENT ASSOCIATED WITH
BRICKLAYING, TILE SETTING, CEMENT MIXING.
</t>
  </si>
  <si>
    <t>P-500-22314-579138</t>
  </si>
  <si>
    <t>GENERAL MAINTENANCE AND REPAIR WORKER</t>
  </si>
  <si>
    <t>Preferred applicants with training certificates, but not required.
Required Certificate of Employment from the previous employer as Maintenance and Repair Worker.</t>
  </si>
  <si>
    <t>P-500-22314-579280</t>
  </si>
  <si>
    <t>Taxi Driver</t>
  </si>
  <si>
    <t>Valid driver's license.
Valid license or permit to transport passengers.
Clear criminal record - all background checking will be applied to ALL applicants regardless of nationality status gender age etc. NO discrimination will be allowed.</t>
  </si>
  <si>
    <t>P-500-22314-579383</t>
  </si>
  <si>
    <t>Oral marketing and written communication skills, microsoft office software knowledge.  Police clearance is required to both U.S Workers and 
CW-1 Workers.  Must have a Driver's License.</t>
  </si>
  <si>
    <t>P-500-22315-581592</t>
  </si>
  <si>
    <t>Graduate of accounting.  Must be familiar with Microsoft Office Excel &amp; Word. Familiar with other accounting softwares</t>
  </si>
  <si>
    <t>P-500-22315-581594</t>
  </si>
  <si>
    <t>12 MONTH OF WORK EXPERIENCE AS COSMETOLOGIST</t>
  </si>
  <si>
    <t>P-500-22315-581780</t>
  </si>
  <si>
    <t>At least 6 months working experience as Maintenance and Repair Worker. High School graduate or equivalent. Know how to read electrical diagram. Know carpentry and masonry works. Willing to work flexible schedule. Do other related duties as assigned.</t>
  </si>
  <si>
    <t>P-500-22315-581785</t>
  </si>
  <si>
    <t>DRAFTSMEN</t>
  </si>
  <si>
    <t>At least 12 months working experience as drafstmen. High school graduate or equivalent. Know how to use and operate CAD equipment to produce design. Knowledge in drawing, interior and exterior designs. Know how to analyze building codes and site requirements. Knowledge in design techniques, tools and principle.  Willing to work flexible schedule. Do other related duties as assigned.</t>
  </si>
  <si>
    <t>P-500-22315-581795</t>
  </si>
  <si>
    <t>Graduate of Bachelor Degree in Accounting, can work without supervision, reliable, computer knowledge in MS. Word, MS Excel, POS.</t>
  </si>
  <si>
    <t>P-500-22315-581799</t>
  </si>
  <si>
    <t>cargo agent</t>
  </si>
  <si>
    <t>Computer literate, able to carry at least 50lbs of cargo/baggage.</t>
  </si>
  <si>
    <t>Cargo and Freight Agents</t>
  </si>
  <si>
    <t>P-500-22315-581811</t>
  </si>
  <si>
    <t>ADVERTISING AND PROMOTION MANAGER</t>
  </si>
  <si>
    <t>At least 12 months working experience as advertising manager. High school graduate or equivalent. Must know the principle of method of showing, promoting, marketing strategy, tactics, product demonstration, sales techniques. Must know different types of construction materials and its uses. Can at least understand Chinese language. Knowledege in sales strategy.</t>
  </si>
  <si>
    <t>Advertising and Promotions Managers</t>
  </si>
  <si>
    <t>P-500-22316-583729</t>
  </si>
  <si>
    <t>PRODUCTION PROCESSES, QUALITY CONTROL, COSTS, AND OTHER TECHNIQUES FOR MAXIMIZING THE EFFECTIVE MANUFACTURE AND DISTRIBUTION OF GOODS. MUST BE ABLE TO HANDLE SPLIT SHIFT SCHEDULE. MUST BE ABLE TO WORK ON BUSY OPERATION DAYS, LIKE HOLIDAYS</t>
  </si>
  <si>
    <t>P-500-22316-583756</t>
  </si>
  <si>
    <t>MEAT CUTTER</t>
  </si>
  <si>
    <t xml:space="preserve">Must be a high school graduate, with at least 3 months working experience in wholesale food industry. 
Must have full knowledge and experience of a meat department operations and skills. Ability to work independently.
</t>
  </si>
  <si>
    <t>P-500-22316-583879</t>
  </si>
  <si>
    <t>Works as Massage Therapist</t>
  </si>
  <si>
    <t>HE/SHE MUST BE ABLE TO SPEND THE DAY ON THEIR FEET WITHOUT GETTING OVERLY TIRED. CAN WORK FLEXIBLE TIME, TIME INCLUDING WEEKENDS, NIGHTS AND
HOLIDAYS.</t>
  </si>
  <si>
    <t>P-500-22316-583880</t>
  </si>
  <si>
    <t>ASSOCIATE'S IN COMPUTER SCIENCE</t>
  </si>
  <si>
    <t>Work as Computer Support Specialist</t>
  </si>
  <si>
    <t xml:space="preserve"> ASSOCIATES DEGREE OR PROFESSIONAL CERTIFICATION ALONG WITH RELATED
WORK EXPERIENCE. 2 YEARS OF WORK-RELATED EXPERIENCE.
</t>
  </si>
  <si>
    <t>Network and Computer Systems Administrators</t>
  </si>
  <si>
    <t>P-500-22318-584060</t>
  </si>
  <si>
    <t>Minimum of 2 years experience as Grounds and Building Maintenance</t>
  </si>
  <si>
    <t>MUST HAVE 24 MONTHS EXPERIENCE IN BASIC PLUMBING, ELECTRICAL, CARPENTRY, MASONRY AND LANDSCAPING SKILLS FOR LANDSCAPING, MAINTENANCE AND REPAIRS AS CLIENT NEEDS ARISE. BECAUSE THE JOB WILL REQUIRE DAILY MOMENT IN AND ABOUT SAIPAN, TRAVELING TO AND FROM CLIENT BUILDING AND RESIDENCE LOCATIONS AND TO MATERIALS VENDORS TO ACQUIRE ITEMS NECESSARY FOR REPAIRS AND MAINTENANCE, THE JOB REQUIRES THAT THE EMPLOYEE OBTAIN A CNMI DRIVER'S LICENSE AND SECURE THE DAILY USE OF AN OPERATIONAL, REGISTERED AND INSURED VEHICLE PRIOR TO THE EMPLOYEE'S FIRST DAY OF WORK AND TO MAINTAIN A VALID CNMI DRIVER'S LICENSE, AN OPERATIONAL, REGISTERED AND INSURED VEHICLE AT ALL TIMES DURING THE FULL TERM OF EMPLOYMENT. COMPANY EMPLOYEES ARE REIMBURSED AT THE IRS MILEAGE RATE FOR THEIR FUEL AND MAINTENANCE COSTS FOR ALL MILES TRAVELED IN THEIR VEHICLES FOR COMPANY BUSINESS. THESE REQUIREMENT AND ALL OF THE OTHER REQUIREMENTS FOR THIS JOB APPLY TO ALL COMPANY EMPLOYEES REGARDLESS OF CITIZENSHIP, NATIONALITY AND/OR PLACE OF HIRE.</t>
  </si>
  <si>
    <t>P-500-22318-584069</t>
  </si>
  <si>
    <t xml:space="preserve">Computer related such as encoding and program installing.
</t>
  </si>
  <si>
    <t>P-500-22318-584071</t>
  </si>
  <si>
    <t>Business Administration / Accounting</t>
  </si>
  <si>
    <t>MUST HAVE AT LEAST 48-MONTHS OF RELATED WORK EXPERIENCE AS AN ACCOUNTANT.  WITH BACHELOR'S DEGREE OF BUSINESS ADMINISTRATION OR OF ACCOUNTING. MUST BE KNOWLEDGEABLE IN SAGE 50 ACCOUNTING SOFTWARE, INTUIT
QUICKBOOKS, TAX SOFTWARE. GIVING FULL ATTENTION TO THE INSTRUCTIONS, TAKING TIME TO UNDERSTAND THE POINTS BEING MADE. ASKING QUESTIONS AS
APPROPRIATE. CAN UNDERSTAND WRITTEN SENTENCES AND PARAGRAPHS IN WORK RELATED DOCUMENTS. HAS THE ABILITY TO CHOOSE THE RIGHT MATHEMATICAL
METHODS OR FORMULAS TO SOLVE PROBLEMS.</t>
  </si>
  <si>
    <t>P-500-22318-584371</t>
  </si>
  <si>
    <t>Auto Service Technician</t>
  </si>
  <si>
    <t>P-500-22318-584382</t>
  </si>
  <si>
    <t>Auto Body repairer</t>
  </si>
  <si>
    <t>P-500-22318-584393</t>
  </si>
  <si>
    <t>Surveying Technician</t>
  </si>
  <si>
    <t>Surveying and Mapping Technicians</t>
  </si>
  <si>
    <t>P-500-22319-586591</t>
  </si>
  <si>
    <t>Customer Service Representative</t>
  </si>
  <si>
    <t>High School graduate with minimum of one year work related experience.  Must have excellent communication skills in English, both oral and written.  Must have knowledge of principles and processes for providing customer services. Must be proficient in PC and Microsoft Office software applications. Must be proficient in mathematical calculations.</t>
  </si>
  <si>
    <t>Customer Service Representatives</t>
  </si>
  <si>
    <t>P-500-22319-586599</t>
  </si>
  <si>
    <t>ON THE JOB TRAINING OR APPRENTICESHIP</t>
  </si>
  <si>
    <t>AUTOMOTIVE MECHANICS/AUTO TECHNICIANS</t>
  </si>
  <si>
    <t>Ability to work efficiently and effectively to ensure positive team performance of service department. Ability to read and comprehend instructions and information.</t>
  </si>
  <si>
    <t>P-500-22319-586607</t>
  </si>
  <si>
    <t>ON THE JOB TRAINING/APPRENTICESHIP</t>
  </si>
  <si>
    <t>MAINTENANCE &amp; REPAIR WORKERS</t>
  </si>
  <si>
    <t>Inspect, operate, or test machinery or equipment to diagnose machine malfunctions. Dismantle machines,
equipment, or devices to access and remove defective parts, using hoists, cranes, hand tools, or power tools. Perform routine maintenance, such as inspecting drives, motors, or belts, checking fluid levels, replacing filters, or doing other preventive maintenance actions. Diagnose mechanical problems and determine how to correct them, checking blueprints, repair manuals, or parts catalogs, as necessary. Repair machines, equipment, or structures, using tools such as hammers, hoists, saws, drills, wrenches, or equipment such as precision measuring instruments or electrical or electronic testing devices. Maintain or repair specialized equipment or machinery located in cafeterias, laundries, hospitals, stores, offices, or factories. Assemble,
install, or repair wiring, electrical or electronic components, pipe systems, plumbing, machinery, or equipment.
Clean or lubricate shafts, bearings, gears, or other parts of machinery. Adjust functional parts of devices or control instruments, using hand tools, levels, plumb bobs, or straightedges. Order parts, supplies, or
equipment from catalogs or suppliers.</t>
  </si>
  <si>
    <t>P-500-22319-586618</t>
  </si>
  <si>
    <t>COMBINED FOOD PREPARATION AND SERVING WORKERS</t>
  </si>
  <si>
    <t>Can handle complaints and accepts suggestions. Can work well with others. Can assess the value and quality of food to serve or give to the customers.</t>
  </si>
  <si>
    <t>P-500-22319-586636</t>
  </si>
  <si>
    <t>STOCK CLERKS, SALES FLOOR</t>
  </si>
  <si>
    <t>Demonstrating ability to complete heavy lifting tasks. Processing effective communication skills. Having basic math skills. Showing an ability to help
customers.</t>
  </si>
  <si>
    <t>P-500-22319-586649</t>
  </si>
  <si>
    <t>Maids and Housekeeping cleaner</t>
  </si>
  <si>
    <t xml:space="preserve">STRONG TIME MANAGEMENT SKILLS AND PROVEN  6 MONTHS OF WORK EXPERIENCE.
ATTENTION TO DETAIL AND KNOWLEDGEABLE OF  PROPER SAFETY PROCEDURES.
EXPERIENCE WITH A VARIETY OF CLEANING PRODUCTS AND TOOLS.
</t>
  </si>
  <si>
    <t>P-500-22319-586652</t>
  </si>
  <si>
    <t>Maintenance Repairer Worker</t>
  </si>
  <si>
    <t>PROVEN 12 MONTHS WORK EXPERIENCE. WELL VERSE IN CARPENTY, PLUMBING, WELDING AND MAINTENANCE OF MECHANICAL AND ELECTRICAL EQUIPMENT. MUST HAVE THE ABILITY TO
MAINTAIN AND
REPAIR AIR CONDITIONING SYSTEM, REPAIRING WINDOWS AND DOOR,REPAIR AND INSTALL ROOFING. ABILITY TO MIX AND APPLY PAINTS ON WALLS AND ROOFING.</t>
  </si>
  <si>
    <t>P-500-22320-589393</t>
  </si>
  <si>
    <t>Major in Accountancy</t>
  </si>
  <si>
    <t>Education: Bachelor's Degree Major in Accounting.  Work Experience: two (2) years work experience as an Accountant preferably in the airline industry. Skilled in the use of various operating systems, SAP R3 FICO, invoicing system, Microsoft Internet Explorer, Microsoft Office, Microsoft Windows, Microsoft Powerpoint, Excel, and Microsoft Word. Experience in the Airline Industry preferred. Must be able to work under time pressure and can work flexible hours. Must be able to critically evaluate data, identify issues in documentation, and suggest solutions. Must pay attention to detail when compiling and examining documents. Must be able to analyze, compare, and interpret facts and figures. Strong organizational skills are important for accountants, who often work with a range of financial documents for a variety of clients.</t>
  </si>
  <si>
    <t>P-500-22320-589692</t>
  </si>
  <si>
    <t>PASTOR</t>
  </si>
  <si>
    <t>At least 12 months working experience as Pastor. High School graduate or equivalent. Know how to preach the bible. Know how to lead classes or community events, develop educational programs and strategies for religious organizations. At least can speak Korean and English language. Willing to work flexible schedule.</t>
  </si>
  <si>
    <t>Clergy</t>
  </si>
  <si>
    <t>P-500-22320-589701</t>
  </si>
  <si>
    <t>At least 12 months working experience as Upholsterer. High school graduate or equivalent. Know how to cut fabric and leather materials and design to fit and cover work pieces. Know how to operate sewing machine or sew by hand, lay out, cut, fabricate and install upholstery. Discuss upholstery fabric, color, and style to customer and provide estimate. Willing to work flexible schedule. Do other related duties as assigned.</t>
  </si>
  <si>
    <t>P-500-22320-589723</t>
  </si>
  <si>
    <t>At least 12 months working experience as maintenance worker. High School Graduate or equivalent. Know how to read electrical diagram and lay out plan. Know how to operate power tools. Willing to work flexible schedule. Do other related duties as assigned.</t>
  </si>
  <si>
    <t>P-500-22320-589731</t>
  </si>
  <si>
    <t>CABINET MAKERS AND BENCH CARPENTERS</t>
  </si>
  <si>
    <t>At least 12 months working experience as cabinet makers and bench carpenters. High school graduate or equivalent. Must be able to make designs and make accurate measurements. Know how to use hand tools and power tools. Know how to read blueprints and building plans for accurate layout. Know how to make design of cabinets. Willing to work flexible schedule. Do other related duties as assigned.</t>
  </si>
  <si>
    <t>Cabinetmakers and Bench Carpenters</t>
  </si>
  <si>
    <t>P-500-22320-589738</t>
  </si>
  <si>
    <t>At least 12 months working experience as accountant. High School Graduate or equivalent. Can compute financial statement, 1120, 1120F, 990T and different types of taxes. Know peach tree accounting. Prepare accounts and tax returns. Willing to work flexible schedule. Do other related duties as assigned.</t>
  </si>
  <si>
    <t>P-500-22320-589762</t>
  </si>
  <si>
    <t>At least 12 months working experience Maintenance and repair worker. Know how to read electrical diagram and lay out plan. Know how to repair door locks and windows. Know how to diagnose mechanical and electrical problems. Willing to work flexible schedule. Do other related duties as assigned</t>
  </si>
  <si>
    <t>P-500-22321-591881</t>
  </si>
  <si>
    <t>Checker Stocker, Inventory Specialist</t>
  </si>
  <si>
    <t>APPLICANTS MUST BE ABLE TO LIFT AT LEAST 45 LBS. APPLICANTS MUST BE ABLE TO WORK ON FLEXIBLE OR AN EARLY MORNING SHIFT. MUST BE KNOWLEDGEABLE IN MICROSOFT APPLICATIONS (WORD, EXCEL).</t>
  </si>
  <si>
    <t>P-500-22321-591908</t>
  </si>
  <si>
    <t>Production Worker, Production Helper</t>
  </si>
  <si>
    <t>A self-driven individual physically fit to lift a minimum of 50lbs to shoulder level. Must speak and write English. Work Experience Preferred.</t>
  </si>
  <si>
    <t>P-500-22321-592033</t>
  </si>
  <si>
    <t>BEAUTICIAN/HAIRSTYLIST</t>
  </si>
  <si>
    <t>Previous experience as a hair stylist or colorist. Proficiency with hot irons, curlers and blow-dryers. Ability to perform waxing, pedicure, manicures and nail reconstruction.
Knowledge of make-up application.</t>
  </si>
  <si>
    <t>P-500-22321-592038</t>
  </si>
  <si>
    <t>BOOKKEEPING, ACCOUNTING, AND AUDITING CLERKS</t>
  </si>
  <si>
    <t>KNOWLEDGE IN QUICKBOOKS ACCOUNTING, PEACHTREE, SAGE AND MS OFFICE. NUMERICAL SKILLS. ORGANIZATIONAL SKILLS. ATTENTION TO DETAILS. COMPUTER
SKILLS. PROBLEM SOLVING SKILLS.</t>
  </si>
  <si>
    <t>P-500-22321-592181</t>
  </si>
  <si>
    <t>Job- related training</t>
  </si>
  <si>
    <t>Job-related occupations</t>
  </si>
  <si>
    <t>Work-related skill, knowledge, or experience. Active listening, service orientation, complex problem solving  and critical thinking skills.</t>
  </si>
  <si>
    <t>P-500-22321-592399</t>
  </si>
  <si>
    <t>MAINTENANCE WORKER</t>
  </si>
  <si>
    <t>At least 6 months working experience as Maintenance worker. High school graduate or equivalent. Know to repair doors, locks, windows. Willing to work flexible schedule.  Do other related duties as assigned.</t>
  </si>
  <si>
    <t>P-500-22321-592420</t>
  </si>
  <si>
    <t>At least 6 months working experience as cook. High School graduate or equivalent. Knows how to make different kind of dishes. Knows how to make different kinds of snacks and desserts. Knows how to measure and assemble ingredients for menu items. Maintain accurate food inventories. Knowledge in cooking. Ensure that the food preparation area and the kitchen are sanitized at the end of the shift. Do other related duties as assigned. Willing to work flexible schedule.</t>
  </si>
  <si>
    <t>P-500-22322-594664</t>
  </si>
  <si>
    <t>P-500-22322-594711</t>
  </si>
  <si>
    <t>Job requires a willingness to take on responsibilities and challenges. Thorough experience with hot and cold preparation. Follow sanitation standards and health codes. Ability to use slicers, mixers, grinder, food processors, knife, etc. Able to handle work in fast-paced kitchen environment. Can work under pressure. Meeting quality standards for services, and evaluation of customer satisfaction.</t>
  </si>
  <si>
    <t>P-500-22322-594730</t>
  </si>
  <si>
    <t>MAIDS AND HOUSEKEEPING CLEANERS</t>
  </si>
  <si>
    <t>Ability to manage time efficiently. Can work without supervision. Handle basic maintenance and cleaning.</t>
  </si>
  <si>
    <t>P-500-22322-594754</t>
  </si>
  <si>
    <t>CHILDCARE WORKERS</t>
  </si>
  <si>
    <t>Childcare workers must be able to talk with parents and colleagues about the progress of the children in their care. They need both good speaking skills to provide this information effectively and good listening skills to understand parents instructions.</t>
  </si>
  <si>
    <t>P-500-22322-594785</t>
  </si>
  <si>
    <t>HOTEL, MOTEL AND RESORT DESK CLERK</t>
  </si>
  <si>
    <t>Report to work on time and in proper uniform. Knowledge and/or ability to operate a computer and reservation system. Ability to stand/walk for up to 6 to 8 hours.</t>
  </si>
  <si>
    <t>P-500-22322-594806</t>
  </si>
  <si>
    <t>DRIVER SALES WORKER</t>
  </si>
  <si>
    <t>Knowledge of principles and processes for providing customer and personal services. Know how to drive.</t>
  </si>
  <si>
    <t>P-500-22322-594812</t>
  </si>
  <si>
    <t>P-500-22322-594825</t>
  </si>
  <si>
    <t>OJT/HEALTH AND WELLNESS TRAINING</t>
  </si>
  <si>
    <t>JOB REQUIRES BEING PLEASANT WITH OTHERS ON THE JOB AND DISPLAYING A GOOD-NATURED, COOPERATIVE ATTITUDE. KNOWLEDGE OF PRINCIPLES AND
PROCESSES FOR PROVIDING CUSTOMER AND PERSONAL SERVICES. THIS INCLUDES CUSTOMER NEEDS ASSESSMENT, MEETING QUALITY STANDARDS FOR SERVICES,
AND EVALUATION OF CUSTOMER SATISFACTION. JOB REQUIRES BEING CAREFUL ABOUT DETAIL AND THOROUGH IN COMPLETING WORK TASKS.</t>
  </si>
  <si>
    <t>P-500-22323-597662</t>
  </si>
  <si>
    <t>1 YEAR EXPERIENCE AS BUILDING MAINTENANCE IS REQUIRED AND PREFERABLY WITH CARPENTRY RELATED SKILLS SUCH AS REPAIR/INSTALLATION, CAN OPERATE
EQUIPMENT AND HAND POWER TOOLS. MUST HAVE PROBLEM SOLVING SKILLS, BE SELF MOTIVATED AND ORGANIZED. MUST BE ABLE TO DELIVER WORK
INDEPENDENTLY AND WITH URGENCY.</t>
  </si>
  <si>
    <t>P-500-22324-597756</t>
  </si>
  <si>
    <t>Have proficient maintenance skills and work continuously for at least one year.</t>
  </si>
  <si>
    <t>P-500-22324-597759</t>
  </si>
  <si>
    <t>CUSTOM SEWER</t>
  </si>
  <si>
    <t>MUST BE A QUALIFIED WITH MINIMUM OF 6 MONTHS TO 1 YEAR EXPERIENCE IN THE REQUIRED FIELD, BE A TEAM PLAYER, HAVE INITIATIVE AND WILLING TO MEET THE PHYSICAL DEMANDS OF THE JOB.</t>
  </si>
  <si>
    <t>Tailors, Dressmakers, and Custom Sewers</t>
  </si>
  <si>
    <t>P-500-22324-597766</t>
  </si>
  <si>
    <t>Works as Heavy Equipment Operator</t>
  </si>
  <si>
    <t>P-500-22325-597963</t>
  </si>
  <si>
    <t>COMPUTERS AND ELECTRONICS</t>
  </si>
  <si>
    <t>COMPUTER SPECIALIST</t>
  </si>
  <si>
    <t xml:space="preserve">Knowledge of circuit boards, processors, chips, electronic equipment, and computer hardware and software, including applications and programming.  Knowledge of digital copiers, MFPs, POS, time recorders, printers.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</si>
</sst>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00000"/>
    <numFmt numFmtId="165" formatCode="[&lt;=9999999]###\-####;\(###\)\ ###\-####"/>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6">
    <xf numFmtId="0" fontId="0" fillId="0" borderId="0" xfId="0"/>
    <xf numFmtId="14" fontId="0" fillId="0" borderId="0" xfId="0" applyNumberFormat="1"/>
    <xf numFmtId="0" fontId="0" fillId="0" borderId="0" xfId="0" applyAlignment="1">
      <alignment wrapText="1"/>
    </xf>
    <xf numFmtId="8" fontId="0" fillId="0" borderId="0" xfId="0" applyNumberFormat="1"/>
    <xf numFmtId="164" fontId="0" fillId="0" borderId="0" xfId="0" applyNumberFormat="1"/>
    <xf numFmtId="165" fontId="0" fillId="0" borderId="0" xfId="0" applyNumberFormat="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Z538"/>
  <sheetViews>
    <sheetView tabSelected="1" workbookViewId="0">
      <selection activeCell="CA1" sqref="CA1:CA1048576"/>
    </sheetView>
  </sheetViews>
  <sheetFormatPr defaultRowHeight="15" customHeight="1" x14ac:dyDescent="0.25"/>
  <cols>
    <col min="1" max="1" width="18.5703125" bestFit="1" customWidth="1"/>
    <col min="2" max="2" width="37" bestFit="1" customWidth="1"/>
    <col min="3" max="3" width="17.42578125" style="1" bestFit="1" customWidth="1"/>
    <col min="4" max="4" width="24.140625" style="1" bestFit="1" customWidth="1"/>
    <col min="5" max="5" width="26.28515625" style="1" bestFit="1" customWidth="1"/>
    <col min="6" max="6" width="33.85546875" style="1" bestFit="1" customWidth="1"/>
    <col min="7" max="7" width="21.5703125" style="1" bestFit="1" customWidth="1"/>
    <col min="8" max="8" width="13.7109375" bestFit="1" customWidth="1"/>
    <col min="9" max="9" width="30.5703125" bestFit="1" customWidth="1"/>
    <col min="10" max="10" width="31.140625" bestFit="1" customWidth="1"/>
    <col min="11" max="11" width="33.28515625" bestFit="1" customWidth="1"/>
    <col min="12" max="12" width="57.7109375" bestFit="1" customWidth="1"/>
    <col min="13" max="13" width="61.140625" bestFit="1" customWidth="1"/>
    <col min="14" max="14" width="63.42578125" bestFit="1" customWidth="1"/>
    <col min="15" max="15" width="26" bestFit="1" customWidth="1"/>
    <col min="16" max="16" width="25.140625" bestFit="1" customWidth="1"/>
    <col min="17" max="17" width="32.7109375" style="4" bestFit="1" customWidth="1"/>
    <col min="18" max="18" width="28.42578125" bestFit="1" customWidth="1"/>
    <col min="19" max="19" width="29.140625" bestFit="1" customWidth="1"/>
    <col min="20" max="20" width="26.140625" style="5" bestFit="1" customWidth="1"/>
    <col min="21" max="21" width="30.42578125" bestFit="1" customWidth="1"/>
    <col min="22" max="22" width="32.28515625" style="5" bestFit="1" customWidth="1"/>
    <col min="23" max="23" width="39.42578125" bestFit="1" customWidth="1"/>
    <col min="24" max="24" width="51.28515625" bestFit="1" customWidth="1"/>
    <col min="25" max="25" width="78" bestFit="1" customWidth="1"/>
    <col min="26" max="26" width="62.42578125" bestFit="1" customWidth="1"/>
    <col min="27" max="27" width="64" bestFit="1" customWidth="1"/>
    <col min="28" max="28" width="20.28515625" bestFit="1" customWidth="1"/>
    <col min="29" max="29" width="19" bestFit="1" customWidth="1"/>
    <col min="30" max="30" width="26.5703125" bestFit="1" customWidth="1"/>
    <col min="31" max="31" width="26.28515625" bestFit="1" customWidth="1"/>
    <col min="32" max="32" width="28.42578125" bestFit="1" customWidth="1"/>
    <col min="33" max="33" width="20.140625" style="4" bestFit="1" customWidth="1"/>
    <col min="34" max="34" width="24" bestFit="1" customWidth="1"/>
    <col min="35" max="35" width="14.5703125" bestFit="1" customWidth="1"/>
    <col min="36" max="36" width="22.140625" bestFit="1" customWidth="1"/>
    <col min="37" max="37" width="6.85546875" bestFit="1" customWidth="1"/>
    <col min="38" max="38" width="11.42578125" bestFit="1" customWidth="1"/>
    <col min="39" max="39" width="10" bestFit="1" customWidth="1"/>
    <col min="40" max="40" width="66.5703125" bestFit="1" customWidth="1"/>
    <col min="41" max="41" width="29" style="1" bestFit="1" customWidth="1"/>
    <col min="42" max="42" width="67.42578125" bestFit="1" customWidth="1"/>
    <col min="43" max="43" width="24.28515625" bestFit="1" customWidth="1"/>
    <col min="44" max="44" width="92" bestFit="1" customWidth="1"/>
    <col min="45" max="45" width="55.28515625" bestFit="1" customWidth="1"/>
    <col min="46" max="46" width="24.85546875" bestFit="1" customWidth="1"/>
    <col min="47" max="47" width="25.140625" bestFit="1" customWidth="1"/>
    <col min="48" max="48" width="21.42578125" bestFit="1" customWidth="1"/>
    <col min="49" max="49" width="20" bestFit="1" customWidth="1"/>
    <col min="50" max="50" width="50.7109375" customWidth="1"/>
    <col min="51" max="51" width="29.28515625" bestFit="1" customWidth="1"/>
    <col min="52" max="52" width="20.85546875" bestFit="1" customWidth="1"/>
    <col min="53" max="53" width="43.28515625" bestFit="1" customWidth="1"/>
    <col min="54" max="54" width="20.140625" bestFit="1" customWidth="1"/>
    <col min="55" max="55" width="27.5703125" bestFit="1" customWidth="1"/>
    <col min="56" max="56" width="22.140625" bestFit="1" customWidth="1"/>
    <col min="57" max="57" width="33.7109375" bestFit="1" customWidth="1"/>
    <col min="58" max="58" width="43.5703125" bestFit="1" customWidth="1"/>
    <col min="59" max="59" width="29.140625" bestFit="1" customWidth="1"/>
    <col min="60" max="60" width="28.140625" bestFit="1" customWidth="1"/>
    <col min="61" max="62" width="50.7109375" customWidth="1"/>
    <col min="63" max="63" width="64" bestFit="1" customWidth="1"/>
    <col min="64" max="64" width="59.28515625" bestFit="1" customWidth="1"/>
    <col min="65" max="65" width="29.85546875" bestFit="1" customWidth="1"/>
    <col min="66" max="66" width="30.28515625" bestFit="1" customWidth="1"/>
    <col min="67" max="67" width="28.28515625" bestFit="1" customWidth="1"/>
    <col min="68" max="68" width="35.7109375" style="4" bestFit="1" customWidth="1"/>
    <col min="69" max="69" width="30" bestFit="1" customWidth="1"/>
    <col min="70" max="70" width="18.140625" bestFit="1" customWidth="1"/>
    <col min="71" max="71" width="86.42578125" bestFit="1" customWidth="1"/>
    <col min="72" max="72" width="19.7109375" bestFit="1" customWidth="1"/>
    <col min="73" max="73" width="24.85546875" bestFit="1" customWidth="1"/>
    <col min="74" max="74" width="21" bestFit="1" customWidth="1"/>
    <col min="75" max="75" width="27.140625" bestFit="1" customWidth="1"/>
    <col min="76" max="76" width="22" bestFit="1" customWidth="1"/>
    <col min="77" max="77" width="90.42578125" bestFit="1" customWidth="1"/>
    <col min="78" max="78" width="32" style="1" bestFit="1" customWidth="1"/>
  </cols>
  <sheetData>
    <row r="1" spans="1:78" ht="15" customHeight="1" x14ac:dyDescent="0.25">
      <c r="A1" t="s">
        <v>0</v>
      </c>
      <c r="B1" t="s">
        <v>1</v>
      </c>
      <c r="C1" s="1" t="s">
        <v>2</v>
      </c>
      <c r="D1" s="1" t="s">
        <v>3</v>
      </c>
      <c r="E1" s="1" t="s">
        <v>4</v>
      </c>
      <c r="F1" s="1" t="s">
        <v>5</v>
      </c>
      <c r="G1" s="1" t="s">
        <v>6</v>
      </c>
      <c r="H1" t="s">
        <v>7</v>
      </c>
      <c r="I1" t="s">
        <v>8</v>
      </c>
      <c r="J1" t="s">
        <v>9</v>
      </c>
      <c r="K1" t="s">
        <v>10</v>
      </c>
      <c r="L1" t="s">
        <v>11</v>
      </c>
      <c r="M1" t="s">
        <v>12</v>
      </c>
      <c r="N1" t="s">
        <v>13</v>
      </c>
      <c r="O1" t="s">
        <v>14</v>
      </c>
      <c r="P1" t="s">
        <v>15</v>
      </c>
      <c r="Q1" s="4" t="s">
        <v>16</v>
      </c>
      <c r="R1" t="s">
        <v>17</v>
      </c>
      <c r="S1" t="s">
        <v>18</v>
      </c>
      <c r="T1" s="5" t="s">
        <v>19</v>
      </c>
      <c r="U1" t="s">
        <v>20</v>
      </c>
      <c r="V1" s="5" t="s">
        <v>21</v>
      </c>
      <c r="W1" t="s">
        <v>22</v>
      </c>
      <c r="X1" t="s">
        <v>23</v>
      </c>
      <c r="Y1" t="s">
        <v>24</v>
      </c>
      <c r="Z1" t="s">
        <v>25</v>
      </c>
      <c r="AA1" t="s">
        <v>26</v>
      </c>
      <c r="AB1" t="s">
        <v>27</v>
      </c>
      <c r="AC1" t="s">
        <v>28</v>
      </c>
      <c r="AD1" t="s">
        <v>29</v>
      </c>
      <c r="AE1" t="s">
        <v>30</v>
      </c>
      <c r="AF1" t="s">
        <v>31</v>
      </c>
      <c r="AG1" s="4" t="s">
        <v>32</v>
      </c>
      <c r="AH1" t="s">
        <v>33</v>
      </c>
      <c r="AI1" t="s">
        <v>34</v>
      </c>
      <c r="AJ1" t="s">
        <v>35</v>
      </c>
      <c r="AK1" t="s">
        <v>36</v>
      </c>
      <c r="AL1" t="s">
        <v>37</v>
      </c>
      <c r="AM1" t="s">
        <v>38</v>
      </c>
      <c r="AN1" t="s">
        <v>39</v>
      </c>
      <c r="AO1" s="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c r="BJ1" t="s">
        <v>61</v>
      </c>
      <c r="BK1" t="s">
        <v>62</v>
      </c>
      <c r="BL1" t="s">
        <v>63</v>
      </c>
      <c r="BM1" t="s">
        <v>64</v>
      </c>
      <c r="BN1" t="s">
        <v>65</v>
      </c>
      <c r="BO1" t="s">
        <v>66</v>
      </c>
      <c r="BP1" s="4" t="s">
        <v>67</v>
      </c>
      <c r="BQ1" t="s">
        <v>68</v>
      </c>
      <c r="BR1" t="s">
        <v>69</v>
      </c>
      <c r="BS1" t="s">
        <v>70</v>
      </c>
      <c r="BT1" t="s">
        <v>71</v>
      </c>
      <c r="BU1" t="s">
        <v>72</v>
      </c>
      <c r="BV1" t="s">
        <v>73</v>
      </c>
      <c r="BW1" t="s">
        <v>74</v>
      </c>
      <c r="BX1" t="s">
        <v>75</v>
      </c>
      <c r="BY1" t="s">
        <v>76</v>
      </c>
      <c r="BZ1" s="1" t="s">
        <v>77</v>
      </c>
    </row>
    <row r="2" spans="1:78" ht="15" customHeight="1" x14ac:dyDescent="0.25">
      <c r="A2" t="s">
        <v>1725</v>
      </c>
      <c r="B2" t="s">
        <v>94</v>
      </c>
      <c r="C2" s="1">
        <v>44885</v>
      </c>
      <c r="D2" s="1">
        <v>44925</v>
      </c>
      <c r="H2" t="s">
        <v>78</v>
      </c>
      <c r="I2" t="str">
        <f>"HE"</f>
        <v>HE</v>
      </c>
      <c r="J2" t="str">
        <f>"GUO QIANG"</f>
        <v>GUO QIANG</v>
      </c>
      <c r="K2" t="str">
        <f>""</f>
        <v/>
      </c>
      <c r="L2" t="str">
        <f>"VICE PRESIDENT"</f>
        <v>VICE PRESIDENT</v>
      </c>
      <c r="M2" t="str">
        <f>"Suite 205 MAC Bldg Middle Road Chalan Laulau "</f>
        <v xml:space="preserve">Suite 205 MAC Bldg Middle Road Chalan Laulau </v>
      </c>
      <c r="N2" t="str">
        <f>"P.O. Box 500783 "</f>
        <v xml:space="preserve">P.O. Box 500783 </v>
      </c>
      <c r="O2" t="str">
        <f t="shared" ref="O2:O10" si="0">"SAIPAN"</f>
        <v>SAIPAN</v>
      </c>
      <c r="P2" t="str">
        <f t="shared" ref="P2:P15" si="1">"MP"</f>
        <v>MP</v>
      </c>
      <c r="Q2" s="4" t="str">
        <f t="shared" ref="Q2:Q12" si="2">"96950"</f>
        <v>96950</v>
      </c>
      <c r="R2" t="str">
        <f t="shared" ref="R2:R65" si="3">"UNITED STATES OF AMERICA"</f>
        <v>UNITED STATES OF AMERICA</v>
      </c>
      <c r="S2" t="str">
        <f>""</f>
        <v/>
      </c>
      <c r="T2" s="5" t="str">
        <f>"16702356678"</f>
        <v>16702356678</v>
      </c>
      <c r="U2" t="str">
        <f>""</f>
        <v/>
      </c>
      <c r="V2" s="5" t="str">
        <f>""</f>
        <v/>
      </c>
      <c r="W2" t="str">
        <f>"saipanyantze@gmail.com"</f>
        <v>saipanyantze@gmail.com</v>
      </c>
      <c r="X2" t="str">
        <f>"YANTZE CORPORATION "</f>
        <v xml:space="preserve">YANTZE CORPORATION </v>
      </c>
      <c r="Y2" t="str">
        <f>""</f>
        <v/>
      </c>
      <c r="Z2" t="str">
        <f>"Suite 205 MAC Bldg Middle Road Chalan Laulau "</f>
        <v xml:space="preserve">Suite 205 MAC Bldg Middle Road Chalan Laulau </v>
      </c>
      <c r="AA2" t="str">
        <f>"P.O. Box 500783 "</f>
        <v xml:space="preserve">P.O. Box 500783 </v>
      </c>
      <c r="AB2" t="str">
        <f>"Saipan"</f>
        <v>Saipan</v>
      </c>
      <c r="AC2" t="str">
        <f t="shared" ref="AC2:AC65" si="4">"MP"</f>
        <v>MP</v>
      </c>
      <c r="AD2" t="str">
        <f t="shared" ref="AD2:AD12" si="5">"96950"</f>
        <v>96950</v>
      </c>
      <c r="AE2" t="str">
        <f t="shared" ref="AE2:AE65" si="6">"UNITED STATES OF AMERICA"</f>
        <v>UNITED STATES OF AMERICA</v>
      </c>
      <c r="AF2" t="str">
        <f>""</f>
        <v/>
      </c>
      <c r="AG2" s="4" t="str">
        <f>"16702356678"</f>
        <v>16702356678</v>
      </c>
      <c r="AH2" t="str">
        <f>""</f>
        <v/>
      </c>
      <c r="AI2" t="str">
        <f>"236115"</f>
        <v>236115</v>
      </c>
      <c r="AJ2" t="s">
        <v>79</v>
      </c>
      <c r="AK2" t="s">
        <v>79</v>
      </c>
      <c r="AL2" t="s">
        <v>80</v>
      </c>
      <c r="AM2" t="s">
        <v>79</v>
      </c>
      <c r="AP2" t="str">
        <f>"Heavy Equipment Operator"</f>
        <v>Heavy Equipment Operator</v>
      </c>
      <c r="AQ2" t="str">
        <f>"47-2073.00"</f>
        <v>47-2073.00</v>
      </c>
      <c r="AR2" t="str">
        <f>"Operating Engineers and Other Construction Equipment Operators"</f>
        <v>Operating Engineers and Other Construction Equipment Operators</v>
      </c>
      <c r="AS2" t="str">
        <f>"VICE PRESIDENT"</f>
        <v>VICE PRESIDENT</v>
      </c>
      <c r="AT2" t="s">
        <v>79</v>
      </c>
      <c r="AU2" t="str">
        <f>""</f>
        <v/>
      </c>
      <c r="AV2" t="str">
        <f>""</f>
        <v/>
      </c>
      <c r="AW2" t="s">
        <v>79</v>
      </c>
      <c r="AX2" t="str">
        <f>""</f>
        <v/>
      </c>
      <c r="AY2" t="s">
        <v>81</v>
      </c>
      <c r="BA2" t="s">
        <v>80</v>
      </c>
      <c r="BB2" t="s">
        <v>79</v>
      </c>
      <c r="BD2" t="s">
        <v>79</v>
      </c>
      <c r="BG2" t="s">
        <v>82</v>
      </c>
      <c r="BH2">
        <v>12</v>
      </c>
      <c r="BI2" t="s">
        <v>1726</v>
      </c>
      <c r="BJ2" t="s">
        <v>81</v>
      </c>
      <c r="BK2" t="str">
        <f>"Suite 205 MAC Bldg Middle Road Chalan Laulau"</f>
        <v>Suite 205 MAC Bldg Middle Road Chalan Laulau</v>
      </c>
      <c r="BL2" t="str">
        <f>""</f>
        <v/>
      </c>
      <c r="BM2" t="str">
        <f>"saipan"</f>
        <v>saipan</v>
      </c>
      <c r="BO2" t="s">
        <v>83</v>
      </c>
      <c r="BP2" s="4" t="str">
        <f t="shared" ref="BP2:BP12" si="7">"96950"</f>
        <v>96950</v>
      </c>
      <c r="BQ2" t="s">
        <v>82</v>
      </c>
      <c r="BR2" t="str">
        <f>"47-2073.00"</f>
        <v>47-2073.00</v>
      </c>
      <c r="BS2" t="s">
        <v>609</v>
      </c>
      <c r="BT2" s="3">
        <v>10.23</v>
      </c>
      <c r="BU2" t="s">
        <v>80</v>
      </c>
      <c r="BV2" t="s">
        <v>90</v>
      </c>
      <c r="BW2" t="s">
        <v>92</v>
      </c>
      <c r="BZ2" s="1">
        <v>45107</v>
      </c>
    </row>
    <row r="3" spans="1:78" ht="15" customHeight="1" x14ac:dyDescent="0.25">
      <c r="A3" t="s">
        <v>1727</v>
      </c>
      <c r="B3" t="s">
        <v>94</v>
      </c>
      <c r="C3" s="1">
        <v>44885</v>
      </c>
      <c r="D3" s="1">
        <v>44925</v>
      </c>
      <c r="H3" t="s">
        <v>78</v>
      </c>
      <c r="I3" t="str">
        <f>"UY"</f>
        <v>UY</v>
      </c>
      <c r="J3" t="str">
        <f>"MARY IRENE"</f>
        <v>MARY IRENE</v>
      </c>
      <c r="K3" t="str">
        <f>"SIY"</f>
        <v>SIY</v>
      </c>
      <c r="L3" t="str">
        <f>"VICE PRESIDENT"</f>
        <v>VICE PRESIDENT</v>
      </c>
      <c r="M3" t="str">
        <f>"3160 BEACH ROAD I LIYANG"</f>
        <v>3160 BEACH ROAD I LIYANG</v>
      </c>
      <c r="N3" t="str">
        <f>""</f>
        <v/>
      </c>
      <c r="O3" t="str">
        <f t="shared" si="0"/>
        <v>SAIPAN</v>
      </c>
      <c r="P3" t="str">
        <f t="shared" si="1"/>
        <v>MP</v>
      </c>
      <c r="Q3" s="4" t="str">
        <f t="shared" si="2"/>
        <v>96950</v>
      </c>
      <c r="R3" t="str">
        <f t="shared" si="3"/>
        <v>UNITED STATES OF AMERICA</v>
      </c>
      <c r="S3" t="str">
        <f>""</f>
        <v/>
      </c>
      <c r="T3" s="5" t="str">
        <f>"16702343197"</f>
        <v>16702343197</v>
      </c>
      <c r="U3" t="str">
        <f>""</f>
        <v/>
      </c>
      <c r="V3" s="5" t="str">
        <f>""</f>
        <v/>
      </c>
      <c r="W3" t="str">
        <f>"nos.saipan@gmail.com"</f>
        <v>nos.saipan@gmail.com</v>
      </c>
      <c r="X3" t="str">
        <f>"SUN &amp; SURF LIMITED"</f>
        <v>SUN &amp; SURF LIMITED</v>
      </c>
      <c r="Y3" t="str">
        <f>"NATIONAL OFFICE SUPPLY"</f>
        <v>NATIONAL OFFICE SUPPLY</v>
      </c>
      <c r="Z3" t="str">
        <f>"3160 BEACH ROAD I LIYANG"</f>
        <v>3160 BEACH ROAD I LIYANG</v>
      </c>
      <c r="AA3" t="str">
        <f>""</f>
        <v/>
      </c>
      <c r="AB3" t="str">
        <f>"SAIPAN"</f>
        <v>SAIPAN</v>
      </c>
      <c r="AC3" t="str">
        <f t="shared" si="4"/>
        <v>MP</v>
      </c>
      <c r="AD3" t="str">
        <f t="shared" si="5"/>
        <v>96950</v>
      </c>
      <c r="AE3" t="str">
        <f t="shared" si="6"/>
        <v>UNITED STATES OF AMERICA</v>
      </c>
      <c r="AF3" t="str">
        <f>""</f>
        <v/>
      </c>
      <c r="AG3" s="4" t="str">
        <f>"16702343197"</f>
        <v>16702343197</v>
      </c>
      <c r="AH3" t="str">
        <f>""</f>
        <v/>
      </c>
      <c r="AI3" t="str">
        <f>"45321"</f>
        <v>45321</v>
      </c>
      <c r="AJ3" t="s">
        <v>79</v>
      </c>
      <c r="AK3" t="s">
        <v>79</v>
      </c>
      <c r="AL3" t="s">
        <v>80</v>
      </c>
      <c r="AM3" t="s">
        <v>79</v>
      </c>
      <c r="AP3" t="str">
        <f>"COMPUTER SPECIALIST"</f>
        <v>COMPUTER SPECIALIST</v>
      </c>
      <c r="AQ3" t="str">
        <f>"15-1232.00"</f>
        <v>15-1232.00</v>
      </c>
      <c r="AR3" t="str">
        <f>"Computer User Support Specialists"</f>
        <v>Computer User Support Specialists</v>
      </c>
      <c r="AS3" t="str">
        <f>"STORE MANAGER"</f>
        <v>STORE MANAGER</v>
      </c>
      <c r="AT3" t="s">
        <v>79</v>
      </c>
      <c r="AU3" t="str">
        <f>""</f>
        <v/>
      </c>
      <c r="AV3" t="str">
        <f>""</f>
        <v/>
      </c>
      <c r="AW3" t="s">
        <v>79</v>
      </c>
      <c r="AX3" t="str">
        <f>""</f>
        <v/>
      </c>
      <c r="AY3" t="s">
        <v>124</v>
      </c>
      <c r="BA3" t="s">
        <v>1728</v>
      </c>
      <c r="BB3" t="s">
        <v>79</v>
      </c>
      <c r="BD3" t="s">
        <v>79</v>
      </c>
      <c r="BG3" t="s">
        <v>82</v>
      </c>
      <c r="BH3">
        <v>12</v>
      </c>
      <c r="BI3" t="s">
        <v>1729</v>
      </c>
      <c r="BJ3" s="2" t="s">
        <v>1730</v>
      </c>
      <c r="BK3" t="str">
        <f>"3160 BEACH ROAD I LIYANG"</f>
        <v>3160 BEACH ROAD I LIYANG</v>
      </c>
      <c r="BL3" t="str">
        <f>""</f>
        <v/>
      </c>
      <c r="BM3" t="str">
        <f t="shared" ref="BM3:BM10" si="8">"SAIPAN"</f>
        <v>SAIPAN</v>
      </c>
      <c r="BO3" t="s">
        <v>83</v>
      </c>
      <c r="BP3" s="4" t="str">
        <f t="shared" si="7"/>
        <v>96950</v>
      </c>
      <c r="BQ3" t="s">
        <v>79</v>
      </c>
      <c r="BR3" t="str">
        <f>"15-1232.00"</f>
        <v>15-1232.00</v>
      </c>
      <c r="BS3" t="s">
        <v>678</v>
      </c>
      <c r="BT3" s="3">
        <v>12.78</v>
      </c>
      <c r="BU3" t="s">
        <v>80</v>
      </c>
      <c r="BV3" t="s">
        <v>90</v>
      </c>
      <c r="BW3" t="s">
        <v>92</v>
      </c>
      <c r="BZ3" s="1">
        <v>45107</v>
      </c>
    </row>
    <row r="4" spans="1:78" ht="15" customHeight="1" x14ac:dyDescent="0.25">
      <c r="A4" t="s">
        <v>1717</v>
      </c>
      <c r="B4" t="s">
        <v>94</v>
      </c>
      <c r="C4" s="1">
        <v>44884</v>
      </c>
      <c r="D4" s="1">
        <v>44925</v>
      </c>
      <c r="H4" t="s">
        <v>78</v>
      </c>
      <c r="I4" t="str">
        <f>"AGUI"</f>
        <v>AGUI</v>
      </c>
      <c r="J4" t="str">
        <f>"CELSO"</f>
        <v>CELSO</v>
      </c>
      <c r="K4" t="str">
        <f>"GARBANZOS"</f>
        <v>GARBANZOS</v>
      </c>
      <c r="L4" t="str">
        <f>"MANAGER"</f>
        <v>MANAGER</v>
      </c>
      <c r="M4" t="str">
        <f>"P.O. BOX 500860"</f>
        <v>P.O. BOX 500860</v>
      </c>
      <c r="N4" t="str">
        <f>"GARAPAN"</f>
        <v>GARAPAN</v>
      </c>
      <c r="O4" t="str">
        <f t="shared" si="0"/>
        <v>SAIPAN</v>
      </c>
      <c r="P4" t="str">
        <f t="shared" si="1"/>
        <v>MP</v>
      </c>
      <c r="Q4" s="4" t="str">
        <f t="shared" si="2"/>
        <v>96950</v>
      </c>
      <c r="R4" t="str">
        <f t="shared" si="3"/>
        <v>UNITED STATES OF AMERICA</v>
      </c>
      <c r="S4" t="str">
        <f>"NORTHERN MARIANA ISLANDS"</f>
        <v>NORTHERN MARIANA ISLANDS</v>
      </c>
      <c r="T4" s="5" t="str">
        <f>"16702858730"</f>
        <v>16702858730</v>
      </c>
      <c r="U4" t="str">
        <f>""</f>
        <v/>
      </c>
      <c r="V4" s="5" t="str">
        <f>""</f>
        <v/>
      </c>
      <c r="W4" t="str">
        <f>"grandeurservices2021@gmail.com"</f>
        <v>grandeurservices2021@gmail.com</v>
      </c>
      <c r="X4" t="str">
        <f>"Grandeur Company, LLC "</f>
        <v xml:space="preserve">Grandeur Company, LLC </v>
      </c>
      <c r="Y4" t="str">
        <f>""</f>
        <v/>
      </c>
      <c r="Z4" t="str">
        <f>"P.O. BOX 500860"</f>
        <v>P.O. BOX 500860</v>
      </c>
      <c r="AA4" t="str">
        <f>"G/F JP BLDG., CHALAN PALE ARNOLD ROAD"</f>
        <v>G/F JP BLDG., CHALAN PALE ARNOLD ROAD</v>
      </c>
      <c r="AB4" t="str">
        <f>"Saipan"</f>
        <v>Saipan</v>
      </c>
      <c r="AC4" t="str">
        <f t="shared" si="4"/>
        <v>MP</v>
      </c>
      <c r="AD4" t="str">
        <f t="shared" si="5"/>
        <v>96950</v>
      </c>
      <c r="AE4" t="str">
        <f t="shared" si="6"/>
        <v>UNITED STATES OF AMERICA</v>
      </c>
      <c r="AF4" t="str">
        <f>"NORTHERN MARIANA ISLANDS"</f>
        <v>NORTHERN MARIANA ISLANDS</v>
      </c>
      <c r="AG4" s="4" t="str">
        <f>"16702858730"</f>
        <v>16702858730</v>
      </c>
      <c r="AH4" t="str">
        <f>""</f>
        <v/>
      </c>
      <c r="AI4" t="str">
        <f>"561320"</f>
        <v>561320</v>
      </c>
      <c r="AJ4" t="s">
        <v>79</v>
      </c>
      <c r="AK4" t="s">
        <v>79</v>
      </c>
      <c r="AL4" t="s">
        <v>80</v>
      </c>
      <c r="AM4" t="s">
        <v>79</v>
      </c>
      <c r="AP4" t="str">
        <f>"MAINTENANCE WORKER"</f>
        <v>MAINTENANCE WORKER</v>
      </c>
      <c r="AQ4" t="str">
        <f>"49-9071.00"</f>
        <v>49-9071.00</v>
      </c>
      <c r="AR4" t="str">
        <f>"Maintenance and Repair Workers, General"</f>
        <v>Maintenance and Repair Workers, General</v>
      </c>
      <c r="AS4" t="str">
        <f>"MANAGER"</f>
        <v>MANAGER</v>
      </c>
      <c r="AT4" t="s">
        <v>79</v>
      </c>
      <c r="AU4" t="str">
        <f>""</f>
        <v/>
      </c>
      <c r="AV4" t="str">
        <f>""</f>
        <v/>
      </c>
      <c r="AW4" t="s">
        <v>79</v>
      </c>
      <c r="AX4" t="str">
        <f>""</f>
        <v/>
      </c>
      <c r="AY4" t="s">
        <v>84</v>
      </c>
      <c r="BA4" t="s">
        <v>80</v>
      </c>
      <c r="BB4" t="s">
        <v>79</v>
      </c>
      <c r="BD4" t="s">
        <v>79</v>
      </c>
      <c r="BG4" t="s">
        <v>82</v>
      </c>
      <c r="BH4">
        <v>12</v>
      </c>
      <c r="BI4" t="s">
        <v>1694</v>
      </c>
      <c r="BJ4" s="2" t="s">
        <v>1718</v>
      </c>
      <c r="BK4" t="str">
        <f>"JP BLDG., CHALAN PALE ARNOLD ROD"</f>
        <v>JP BLDG., CHALAN PALE ARNOLD ROD</v>
      </c>
      <c r="BL4" t="str">
        <f>"GARAPAN"</f>
        <v>GARAPAN</v>
      </c>
      <c r="BM4" t="str">
        <f t="shared" si="8"/>
        <v>SAIPAN</v>
      </c>
      <c r="BO4" t="s">
        <v>83</v>
      </c>
      <c r="BP4" s="4" t="str">
        <f t="shared" si="7"/>
        <v>96950</v>
      </c>
      <c r="BQ4" t="s">
        <v>79</v>
      </c>
      <c r="BR4" t="str">
        <f>"49-9071.00"</f>
        <v>49-9071.00</v>
      </c>
      <c r="BS4" t="s">
        <v>146</v>
      </c>
      <c r="BT4" s="3">
        <v>9.19</v>
      </c>
      <c r="BU4" t="s">
        <v>80</v>
      </c>
      <c r="BV4" t="s">
        <v>90</v>
      </c>
      <c r="BW4" t="s">
        <v>92</v>
      </c>
      <c r="BZ4" s="1">
        <v>45107</v>
      </c>
    </row>
    <row r="5" spans="1:78" ht="15" customHeight="1" x14ac:dyDescent="0.25">
      <c r="A5" t="s">
        <v>1719</v>
      </c>
      <c r="B5" t="s">
        <v>94</v>
      </c>
      <c r="C5" s="1">
        <v>44884</v>
      </c>
      <c r="D5" s="1">
        <v>44925</v>
      </c>
      <c r="H5" t="s">
        <v>78</v>
      </c>
      <c r="I5" t="str">
        <f>"GUO"</f>
        <v>GUO</v>
      </c>
      <c r="J5" t="str">
        <f>"HUAFENG"</f>
        <v>HUAFENG</v>
      </c>
      <c r="K5" t="str">
        <f>""</f>
        <v/>
      </c>
      <c r="L5" t="str">
        <f>"PRESIDENT"</f>
        <v>PRESIDENT</v>
      </c>
      <c r="M5" t="str">
        <f>"GARAPAN"</f>
        <v>GARAPAN</v>
      </c>
      <c r="N5" t="str">
        <f>"PMB 149 BOX 10001"</f>
        <v>PMB 149 BOX 10001</v>
      </c>
      <c r="O5" t="str">
        <f t="shared" si="0"/>
        <v>SAIPAN</v>
      </c>
      <c r="P5" t="str">
        <f t="shared" si="1"/>
        <v>MP</v>
      </c>
      <c r="Q5" s="4" t="str">
        <f t="shared" si="2"/>
        <v>96950</v>
      </c>
      <c r="R5" t="str">
        <f t="shared" si="3"/>
        <v>UNITED STATES OF AMERICA</v>
      </c>
      <c r="S5" t="str">
        <f>""</f>
        <v/>
      </c>
      <c r="T5" s="5" t="str">
        <f>"16702865678"</f>
        <v>16702865678</v>
      </c>
      <c r="U5" t="str">
        <f>""</f>
        <v/>
      </c>
      <c r="V5" s="5" t="str">
        <f>""</f>
        <v/>
      </c>
      <c r="W5" t="str">
        <f>"jiangzhenggroupcorp@gmail.com"</f>
        <v>jiangzhenggroupcorp@gmail.com</v>
      </c>
      <c r="X5" t="str">
        <f>"PACIFIC PROPERTY MANAGEMENT, LLC"</f>
        <v>PACIFIC PROPERTY MANAGEMENT, LLC</v>
      </c>
      <c r="Y5" t="str">
        <f>""</f>
        <v/>
      </c>
      <c r="Z5" t="str">
        <f>"GARAPAN"</f>
        <v>GARAPAN</v>
      </c>
      <c r="AA5" t="str">
        <f>"PMB 149 BOX 10001"</f>
        <v>PMB 149 BOX 10001</v>
      </c>
      <c r="AB5" t="str">
        <f t="shared" ref="AB5:AB10" si="9">"SAIPAN"</f>
        <v>SAIPAN</v>
      </c>
      <c r="AC5" t="str">
        <f t="shared" si="4"/>
        <v>MP</v>
      </c>
      <c r="AD5" t="str">
        <f t="shared" si="5"/>
        <v>96950</v>
      </c>
      <c r="AE5" t="str">
        <f t="shared" si="6"/>
        <v>UNITED STATES OF AMERICA</v>
      </c>
      <c r="AF5" t="str">
        <f>""</f>
        <v/>
      </c>
      <c r="AG5" s="4" t="str">
        <f>"16702865678"</f>
        <v>16702865678</v>
      </c>
      <c r="AH5" t="str">
        <f>""</f>
        <v/>
      </c>
      <c r="AI5" t="str">
        <f>"531312"</f>
        <v>531312</v>
      </c>
      <c r="AJ5" t="s">
        <v>79</v>
      </c>
      <c r="AK5" t="s">
        <v>79</v>
      </c>
      <c r="AL5" t="s">
        <v>80</v>
      </c>
      <c r="AM5" t="s">
        <v>79</v>
      </c>
      <c r="AP5" t="str">
        <f>"APT. MAINTENANCE WORKER"</f>
        <v>APT. MAINTENANCE WORKER</v>
      </c>
      <c r="AQ5" t="str">
        <f>"49-9071.00"</f>
        <v>49-9071.00</v>
      </c>
      <c r="AR5" t="str">
        <f>"Maintenance and Repair Workers, General"</f>
        <v>Maintenance and Repair Workers, General</v>
      </c>
      <c r="AS5" t="str">
        <f>"MANAGER"</f>
        <v>MANAGER</v>
      </c>
      <c r="AT5" t="s">
        <v>79</v>
      </c>
      <c r="AU5" t="str">
        <f>""</f>
        <v/>
      </c>
      <c r="AV5" t="str">
        <f>""</f>
        <v/>
      </c>
      <c r="AW5" t="s">
        <v>79</v>
      </c>
      <c r="AX5" t="str">
        <f>""</f>
        <v/>
      </c>
      <c r="AY5" t="s">
        <v>84</v>
      </c>
      <c r="BA5" t="s">
        <v>80</v>
      </c>
      <c r="BB5" t="s">
        <v>79</v>
      </c>
      <c r="BD5" t="s">
        <v>79</v>
      </c>
      <c r="BG5" t="s">
        <v>82</v>
      </c>
      <c r="BH5">
        <v>12</v>
      </c>
      <c r="BI5" t="s">
        <v>1694</v>
      </c>
      <c r="BJ5" t="s">
        <v>1720</v>
      </c>
      <c r="BK5" t="str">
        <f>"GARAPAN"</f>
        <v>GARAPAN</v>
      </c>
      <c r="BL5" t="str">
        <f>"PMB 149 BOX 10001"</f>
        <v>PMB 149 BOX 10001</v>
      </c>
      <c r="BM5" t="str">
        <f t="shared" si="8"/>
        <v>SAIPAN</v>
      </c>
      <c r="BO5" t="s">
        <v>83</v>
      </c>
      <c r="BP5" s="4" t="str">
        <f t="shared" si="7"/>
        <v>96950</v>
      </c>
      <c r="BQ5" t="s">
        <v>79</v>
      </c>
      <c r="BR5" t="str">
        <f>"49-9071.00"</f>
        <v>49-9071.00</v>
      </c>
      <c r="BS5" t="s">
        <v>146</v>
      </c>
      <c r="BT5" s="3">
        <v>9.19</v>
      </c>
      <c r="BU5" t="s">
        <v>80</v>
      </c>
      <c r="BV5" t="s">
        <v>90</v>
      </c>
      <c r="BW5" t="s">
        <v>92</v>
      </c>
      <c r="BZ5" s="1">
        <v>45107</v>
      </c>
    </row>
    <row r="6" spans="1:78" ht="15" customHeight="1" x14ac:dyDescent="0.25">
      <c r="A6" t="s">
        <v>1721</v>
      </c>
      <c r="B6" t="s">
        <v>94</v>
      </c>
      <c r="C6" s="1">
        <v>44884</v>
      </c>
      <c r="D6" s="1">
        <v>44925</v>
      </c>
      <c r="H6" t="s">
        <v>78</v>
      </c>
      <c r="I6" t="str">
        <f>"GUO"</f>
        <v>GUO</v>
      </c>
      <c r="J6" t="str">
        <f>"HUAFENG"</f>
        <v>HUAFENG</v>
      </c>
      <c r="K6" t="str">
        <f>""</f>
        <v/>
      </c>
      <c r="L6" t="str">
        <f>"PRESIDENT"</f>
        <v>PRESIDENT</v>
      </c>
      <c r="M6" t="str">
        <f>"GARAPAN"</f>
        <v>GARAPAN</v>
      </c>
      <c r="N6" t="str">
        <f>"PMB 149 BOX 10001"</f>
        <v>PMB 149 BOX 10001</v>
      </c>
      <c r="O6" t="str">
        <f t="shared" si="0"/>
        <v>SAIPAN</v>
      </c>
      <c r="P6" t="str">
        <f t="shared" si="1"/>
        <v>MP</v>
      </c>
      <c r="Q6" s="4" t="str">
        <f t="shared" si="2"/>
        <v>96950</v>
      </c>
      <c r="R6" t="str">
        <f t="shared" si="3"/>
        <v>UNITED STATES OF AMERICA</v>
      </c>
      <c r="S6" t="str">
        <f>""</f>
        <v/>
      </c>
      <c r="T6" s="5" t="str">
        <f>"16702865678"</f>
        <v>16702865678</v>
      </c>
      <c r="U6" t="str">
        <f>""</f>
        <v/>
      </c>
      <c r="V6" s="5" t="str">
        <f>""</f>
        <v/>
      </c>
      <c r="W6" t="str">
        <f>"jiangzhenggroupcorp@gmail.com"</f>
        <v>jiangzhenggroupcorp@gmail.com</v>
      </c>
      <c r="X6" t="str">
        <f>"PACIFIC PROPERTY MANAGEMENT, LLC"</f>
        <v>PACIFIC PROPERTY MANAGEMENT, LLC</v>
      </c>
      <c r="Y6" t="str">
        <f>""</f>
        <v/>
      </c>
      <c r="Z6" t="str">
        <f>"GARAPAN"</f>
        <v>GARAPAN</v>
      </c>
      <c r="AA6" t="str">
        <f>"PMB 149 BOX 10001"</f>
        <v>PMB 149 BOX 10001</v>
      </c>
      <c r="AB6" t="str">
        <f t="shared" si="9"/>
        <v>SAIPAN</v>
      </c>
      <c r="AC6" t="str">
        <f t="shared" si="4"/>
        <v>MP</v>
      </c>
      <c r="AD6" t="str">
        <f t="shared" si="5"/>
        <v>96950</v>
      </c>
      <c r="AE6" t="str">
        <f t="shared" si="6"/>
        <v>UNITED STATES OF AMERICA</v>
      </c>
      <c r="AF6" t="str">
        <f>""</f>
        <v/>
      </c>
      <c r="AG6" s="4" t="str">
        <f>"16702865678"</f>
        <v>16702865678</v>
      </c>
      <c r="AH6" t="str">
        <f>""</f>
        <v/>
      </c>
      <c r="AI6" t="str">
        <f>"531312"</f>
        <v>531312</v>
      </c>
      <c r="AJ6" t="s">
        <v>79</v>
      </c>
      <c r="AK6" t="s">
        <v>79</v>
      </c>
      <c r="AL6" t="s">
        <v>80</v>
      </c>
      <c r="AM6" t="s">
        <v>79</v>
      </c>
      <c r="AP6" t="str">
        <f>"CUSTOM SEWER"</f>
        <v>CUSTOM SEWER</v>
      </c>
      <c r="AQ6" t="str">
        <f>"51-6052.00"</f>
        <v>51-6052.00</v>
      </c>
      <c r="AR6" t="str">
        <f>"Tailors, Dressmakers, and Custom Sewers"</f>
        <v>Tailors, Dressmakers, and Custom Sewers</v>
      </c>
      <c r="AS6" t="str">
        <f>"MANAGER"</f>
        <v>MANAGER</v>
      </c>
      <c r="AT6" t="s">
        <v>79</v>
      </c>
      <c r="AU6" t="str">
        <f>""</f>
        <v/>
      </c>
      <c r="AV6" t="str">
        <f>""</f>
        <v/>
      </c>
      <c r="AW6" t="s">
        <v>79</v>
      </c>
      <c r="AX6" t="str">
        <f>""</f>
        <v/>
      </c>
      <c r="AY6" t="s">
        <v>81</v>
      </c>
      <c r="BA6" t="s">
        <v>80</v>
      </c>
      <c r="BB6" t="s">
        <v>79</v>
      </c>
      <c r="BD6" t="s">
        <v>79</v>
      </c>
      <c r="BG6" t="s">
        <v>82</v>
      </c>
      <c r="BH6">
        <v>6</v>
      </c>
      <c r="BI6" t="s">
        <v>1722</v>
      </c>
      <c r="BJ6" t="s">
        <v>1723</v>
      </c>
      <c r="BK6" t="str">
        <f>"GARAPAN"</f>
        <v>GARAPAN</v>
      </c>
      <c r="BL6" t="str">
        <f>"PMB 149 BOX 10001"</f>
        <v>PMB 149 BOX 10001</v>
      </c>
      <c r="BM6" t="str">
        <f t="shared" si="8"/>
        <v>SAIPAN</v>
      </c>
      <c r="BO6" t="s">
        <v>83</v>
      </c>
      <c r="BP6" s="4" t="str">
        <f t="shared" si="7"/>
        <v>96950</v>
      </c>
      <c r="BQ6" t="s">
        <v>79</v>
      </c>
      <c r="BR6" t="str">
        <f>"51-6052.00"</f>
        <v>51-6052.00</v>
      </c>
      <c r="BS6" t="s">
        <v>1724</v>
      </c>
      <c r="BT6" s="3">
        <v>8.0299999999999994</v>
      </c>
      <c r="BU6" t="s">
        <v>80</v>
      </c>
      <c r="BV6" t="s">
        <v>90</v>
      </c>
      <c r="BW6" t="s">
        <v>92</v>
      </c>
      <c r="BZ6" s="1">
        <v>45107</v>
      </c>
    </row>
    <row r="7" spans="1:78" ht="15" customHeight="1" x14ac:dyDescent="0.25">
      <c r="A7" t="s">
        <v>1701</v>
      </c>
      <c r="B7" t="s">
        <v>94</v>
      </c>
      <c r="C7" s="1">
        <v>44883</v>
      </c>
      <c r="D7" s="1">
        <v>44925</v>
      </c>
      <c r="H7" t="s">
        <v>78</v>
      </c>
      <c r="I7" t="str">
        <f>"GUILLO"</f>
        <v>GUILLO</v>
      </c>
      <c r="J7" t="str">
        <f>"EDEN"</f>
        <v>EDEN</v>
      </c>
      <c r="K7" t="str">
        <f>"FALLAR"</f>
        <v>FALLAR</v>
      </c>
      <c r="L7" t="str">
        <f>"GENERAL MANAGER"</f>
        <v>GENERAL MANAGER</v>
      </c>
      <c r="M7" t="str">
        <f>"PMB 955 PO BOX 10000"</f>
        <v>PMB 955 PO BOX 10000</v>
      </c>
      <c r="N7" t="str">
        <f>"ROOM 104 MARIANAS BUSINESS PLAZA NAURU LOOP SUSUPE"</f>
        <v>ROOM 104 MARIANAS BUSINESS PLAZA NAURU LOOP SUSUPE</v>
      </c>
      <c r="O7" t="str">
        <f t="shared" si="0"/>
        <v>SAIPAN</v>
      </c>
      <c r="P7" t="str">
        <f t="shared" si="1"/>
        <v>MP</v>
      </c>
      <c r="Q7" s="4" t="str">
        <f t="shared" si="2"/>
        <v>96950</v>
      </c>
      <c r="R7" t="str">
        <f t="shared" si="3"/>
        <v>UNITED STATES OF AMERICA</v>
      </c>
      <c r="S7" t="str">
        <f>""</f>
        <v/>
      </c>
      <c r="T7" s="5" t="str">
        <f>"16702352883"</f>
        <v>16702352883</v>
      </c>
      <c r="U7" t="str">
        <f>"0"</f>
        <v>0</v>
      </c>
      <c r="V7" s="5" t="str">
        <f>""</f>
        <v/>
      </c>
      <c r="W7" t="str">
        <f>"efg.pacific.holdings@gmail.com"</f>
        <v>efg.pacific.holdings@gmail.com</v>
      </c>
      <c r="X7" t="str">
        <f>"EFG PACIFIC HOLDINGS, LLC"</f>
        <v>EFG PACIFIC HOLDINGS, LLC</v>
      </c>
      <c r="Y7" t="str">
        <f>"ISLAND BEST CHOICE"</f>
        <v>ISLAND BEST CHOICE</v>
      </c>
      <c r="Z7" t="str">
        <f>"PMB 955 PO BOX 10000"</f>
        <v>PMB 955 PO BOX 10000</v>
      </c>
      <c r="AA7" t="str">
        <f>"ROOM 104 MARIANAS BUSINESS PLAZA NAURU LOOP SUSUPE"</f>
        <v>ROOM 104 MARIANAS BUSINESS PLAZA NAURU LOOP SUSUPE</v>
      </c>
      <c r="AB7" t="str">
        <f t="shared" si="9"/>
        <v>SAIPAN</v>
      </c>
      <c r="AC7" t="str">
        <f t="shared" si="4"/>
        <v>MP</v>
      </c>
      <c r="AD7" t="str">
        <f t="shared" si="5"/>
        <v>96950</v>
      </c>
      <c r="AE7" t="str">
        <f t="shared" si="6"/>
        <v>UNITED STATES OF AMERICA</v>
      </c>
      <c r="AF7" t="str">
        <f>""</f>
        <v/>
      </c>
      <c r="AG7" s="4" t="str">
        <f>"16702352883"</f>
        <v>16702352883</v>
      </c>
      <c r="AH7" t="str">
        <f>"0"</f>
        <v>0</v>
      </c>
      <c r="AI7" t="str">
        <f>"56132"</f>
        <v>56132</v>
      </c>
      <c r="AJ7" t="s">
        <v>79</v>
      </c>
      <c r="AK7" t="s">
        <v>79</v>
      </c>
      <c r="AL7" t="s">
        <v>80</v>
      </c>
      <c r="AM7" t="s">
        <v>79</v>
      </c>
      <c r="AP7" t="str">
        <f>"MAIDS AND HOUSEKEEPING CLEANERS"</f>
        <v>MAIDS AND HOUSEKEEPING CLEANERS</v>
      </c>
      <c r="AQ7" t="str">
        <f>"37-2012.00"</f>
        <v>37-2012.00</v>
      </c>
      <c r="AR7" t="str">
        <f>"Maids and Housekeeping Cleaners"</f>
        <v>Maids and Housekeeping Cleaners</v>
      </c>
      <c r="AS7" t="str">
        <f>"HOUSEKEEPING SUPERVISOR"</f>
        <v>HOUSEKEEPING SUPERVISOR</v>
      </c>
      <c r="AT7" t="s">
        <v>79</v>
      </c>
      <c r="AU7" t="str">
        <f>""</f>
        <v/>
      </c>
      <c r="AV7" t="str">
        <f>""</f>
        <v/>
      </c>
      <c r="AW7" t="s">
        <v>79</v>
      </c>
      <c r="AX7" t="str">
        <f>""</f>
        <v/>
      </c>
      <c r="AY7" t="s">
        <v>84</v>
      </c>
      <c r="BA7" t="s">
        <v>80</v>
      </c>
      <c r="BB7" t="s">
        <v>79</v>
      </c>
      <c r="BD7" t="s">
        <v>82</v>
      </c>
      <c r="BE7">
        <v>3</v>
      </c>
      <c r="BF7" t="s">
        <v>1643</v>
      </c>
      <c r="BG7" t="s">
        <v>82</v>
      </c>
      <c r="BH7">
        <v>3</v>
      </c>
      <c r="BI7" t="s">
        <v>1702</v>
      </c>
      <c r="BJ7" t="s">
        <v>1703</v>
      </c>
      <c r="BK7" t="str">
        <f>"PMB 955 PO BOX 10000"</f>
        <v>PMB 955 PO BOX 10000</v>
      </c>
      <c r="BL7" t="str">
        <f>"ROOM 104 MARIANAS BUSINESS PLAZA NAURU LOOP SUSUPE"</f>
        <v>ROOM 104 MARIANAS BUSINESS PLAZA NAURU LOOP SUSUPE</v>
      </c>
      <c r="BM7" t="str">
        <f t="shared" si="8"/>
        <v>SAIPAN</v>
      </c>
      <c r="BO7" t="s">
        <v>83</v>
      </c>
      <c r="BP7" s="4" t="str">
        <f t="shared" si="7"/>
        <v>96950</v>
      </c>
      <c r="BQ7" t="s">
        <v>79</v>
      </c>
      <c r="BR7" t="str">
        <f>"37-2012.00"</f>
        <v>37-2012.00</v>
      </c>
      <c r="BS7" t="s">
        <v>109</v>
      </c>
      <c r="BT7" s="3">
        <v>7.56</v>
      </c>
      <c r="BU7" t="s">
        <v>80</v>
      </c>
      <c r="BV7" t="s">
        <v>90</v>
      </c>
      <c r="BW7" t="s">
        <v>92</v>
      </c>
      <c r="BZ7" s="1">
        <v>45107</v>
      </c>
    </row>
    <row r="8" spans="1:78" ht="15" customHeight="1" x14ac:dyDescent="0.25">
      <c r="A8" t="s">
        <v>1704</v>
      </c>
      <c r="B8" t="s">
        <v>94</v>
      </c>
      <c r="C8" s="1">
        <v>44883</v>
      </c>
      <c r="D8" s="1">
        <v>44925</v>
      </c>
      <c r="H8" t="s">
        <v>78</v>
      </c>
      <c r="I8" t="str">
        <f>"GUILLO"</f>
        <v>GUILLO</v>
      </c>
      <c r="J8" t="str">
        <f>"EDEN"</f>
        <v>EDEN</v>
      </c>
      <c r="K8" t="str">
        <f>"FALLAR"</f>
        <v>FALLAR</v>
      </c>
      <c r="L8" t="str">
        <f>"GENERAL MANAGER"</f>
        <v>GENERAL MANAGER</v>
      </c>
      <c r="M8" t="str">
        <f>"PMB 955 BOX 10000"</f>
        <v>PMB 955 BOX 10000</v>
      </c>
      <c r="N8" t="str">
        <f>"ROOM 104 MARIANAS BUSINESS PLAZA NAURU LOOP SUSUPE"</f>
        <v>ROOM 104 MARIANAS BUSINESS PLAZA NAURU LOOP SUSUPE</v>
      </c>
      <c r="O8" t="str">
        <f t="shared" si="0"/>
        <v>SAIPAN</v>
      </c>
      <c r="P8" t="str">
        <f t="shared" si="1"/>
        <v>MP</v>
      </c>
      <c r="Q8" s="4" t="str">
        <f t="shared" si="2"/>
        <v>96950</v>
      </c>
      <c r="R8" t="str">
        <f t="shared" si="3"/>
        <v>UNITED STATES OF AMERICA</v>
      </c>
      <c r="S8" t="str">
        <f>""</f>
        <v/>
      </c>
      <c r="T8" s="5" t="str">
        <f>"16702352883"</f>
        <v>16702352883</v>
      </c>
      <c r="U8" t="str">
        <f>"0"</f>
        <v>0</v>
      </c>
      <c r="V8" s="5" t="str">
        <f>""</f>
        <v/>
      </c>
      <c r="W8" t="str">
        <f>"efg.pacific.holdings@gmail.com"</f>
        <v>efg.pacific.holdings@gmail.com</v>
      </c>
      <c r="X8" t="str">
        <f>"EFG PACIFIC HOLDINGS, LLC"</f>
        <v>EFG PACIFIC HOLDINGS, LLC</v>
      </c>
      <c r="Y8" t="str">
        <f>"ISLAND BEST CHOICE"</f>
        <v>ISLAND BEST CHOICE</v>
      </c>
      <c r="Z8" t="str">
        <f>"PMB 955 PO BOX 10000"</f>
        <v>PMB 955 PO BOX 10000</v>
      </c>
      <c r="AA8" t="str">
        <f>"ROOM 104 MARIANAS BUSINESS PLAZA NAURU LOOP SUSUPE"</f>
        <v>ROOM 104 MARIANAS BUSINESS PLAZA NAURU LOOP SUSUPE</v>
      </c>
      <c r="AB8" t="str">
        <f t="shared" si="9"/>
        <v>SAIPAN</v>
      </c>
      <c r="AC8" t="str">
        <f t="shared" si="4"/>
        <v>MP</v>
      </c>
      <c r="AD8" t="str">
        <f t="shared" si="5"/>
        <v>96950</v>
      </c>
      <c r="AE8" t="str">
        <f t="shared" si="6"/>
        <v>UNITED STATES OF AMERICA</v>
      </c>
      <c r="AF8" t="str">
        <f>""</f>
        <v/>
      </c>
      <c r="AG8" s="4" t="str">
        <f>"16702352883"</f>
        <v>16702352883</v>
      </c>
      <c r="AH8" t="str">
        <f>"0"</f>
        <v>0</v>
      </c>
      <c r="AI8" t="str">
        <f>"56132"</f>
        <v>56132</v>
      </c>
      <c r="AJ8" t="s">
        <v>79</v>
      </c>
      <c r="AK8" t="s">
        <v>79</v>
      </c>
      <c r="AL8" t="s">
        <v>80</v>
      </c>
      <c r="AM8" t="s">
        <v>79</v>
      </c>
      <c r="AP8" t="str">
        <f>"CHILDCARE WORKERS"</f>
        <v>CHILDCARE WORKERS</v>
      </c>
      <c r="AQ8" t="str">
        <f>"39-9011.00"</f>
        <v>39-9011.00</v>
      </c>
      <c r="AR8" t="str">
        <f>"Childcare Workers"</f>
        <v>Childcare Workers</v>
      </c>
      <c r="AS8" t="str">
        <f>"N/A"</f>
        <v>N/A</v>
      </c>
      <c r="AT8" t="s">
        <v>79</v>
      </c>
      <c r="AU8" t="str">
        <f>""</f>
        <v/>
      </c>
      <c r="AV8" t="str">
        <f>""</f>
        <v/>
      </c>
      <c r="AW8" t="s">
        <v>79</v>
      </c>
      <c r="AX8" t="str">
        <f>""</f>
        <v/>
      </c>
      <c r="AY8" t="s">
        <v>84</v>
      </c>
      <c r="BA8" t="s">
        <v>80</v>
      </c>
      <c r="BB8" t="s">
        <v>79</v>
      </c>
      <c r="BD8" t="s">
        <v>82</v>
      </c>
      <c r="BE8">
        <v>6</v>
      </c>
      <c r="BF8" t="s">
        <v>1643</v>
      </c>
      <c r="BG8" t="s">
        <v>82</v>
      </c>
      <c r="BH8">
        <v>12</v>
      </c>
      <c r="BI8" t="s">
        <v>1705</v>
      </c>
      <c r="BJ8" t="s">
        <v>1706</v>
      </c>
      <c r="BK8" t="str">
        <f>"PMB 955 PO BOX 10000"</f>
        <v>PMB 955 PO BOX 10000</v>
      </c>
      <c r="BL8" t="str">
        <f>"ROOM 104 MARIANAS BUSINESS PLAZA NAURU LOOP SUSUPE"</f>
        <v>ROOM 104 MARIANAS BUSINESS PLAZA NAURU LOOP SUSUPE</v>
      </c>
      <c r="BM8" t="str">
        <f t="shared" si="8"/>
        <v>SAIPAN</v>
      </c>
      <c r="BO8" t="s">
        <v>83</v>
      </c>
      <c r="BP8" s="4" t="str">
        <f t="shared" si="7"/>
        <v>96950</v>
      </c>
      <c r="BQ8" t="s">
        <v>79</v>
      </c>
      <c r="BR8" t="str">
        <f>"39-9011.00"</f>
        <v>39-9011.00</v>
      </c>
      <c r="BS8" t="s">
        <v>551</v>
      </c>
      <c r="BT8" s="3">
        <v>7.53</v>
      </c>
      <c r="BU8" t="s">
        <v>80</v>
      </c>
      <c r="BV8" t="s">
        <v>90</v>
      </c>
      <c r="BW8" t="s">
        <v>92</v>
      </c>
      <c r="BZ8" s="1">
        <v>45107</v>
      </c>
    </row>
    <row r="9" spans="1:78" ht="15" customHeight="1" x14ac:dyDescent="0.25">
      <c r="A9" t="s">
        <v>1707</v>
      </c>
      <c r="B9" t="s">
        <v>94</v>
      </c>
      <c r="C9" s="1">
        <v>44883</v>
      </c>
      <c r="D9" s="1">
        <v>44925</v>
      </c>
      <c r="H9" t="s">
        <v>78</v>
      </c>
      <c r="I9" t="str">
        <f>"GUILLO"</f>
        <v>GUILLO</v>
      </c>
      <c r="J9" t="str">
        <f>"EDEN"</f>
        <v>EDEN</v>
      </c>
      <c r="K9" t="str">
        <f>"FALLAR"</f>
        <v>FALLAR</v>
      </c>
      <c r="L9" t="str">
        <f>"GENERAL MANAGER"</f>
        <v>GENERAL MANAGER</v>
      </c>
      <c r="M9" t="str">
        <f>"PMB 955 PO BOX 10000"</f>
        <v>PMB 955 PO BOX 10000</v>
      </c>
      <c r="N9" t="str">
        <f>"ROOM 104 MARIANAS BUSINESS PLAZA NAURU LOOP SUSUPE"</f>
        <v>ROOM 104 MARIANAS BUSINESS PLAZA NAURU LOOP SUSUPE</v>
      </c>
      <c r="O9" t="str">
        <f t="shared" si="0"/>
        <v>SAIPAN</v>
      </c>
      <c r="P9" t="str">
        <f t="shared" si="1"/>
        <v>MP</v>
      </c>
      <c r="Q9" s="4" t="str">
        <f t="shared" si="2"/>
        <v>96950</v>
      </c>
      <c r="R9" t="str">
        <f t="shared" si="3"/>
        <v>UNITED STATES OF AMERICA</v>
      </c>
      <c r="S9" t="str">
        <f>""</f>
        <v/>
      </c>
      <c r="T9" s="5" t="str">
        <f>"16702352883"</f>
        <v>16702352883</v>
      </c>
      <c r="U9" t="str">
        <f>"0"</f>
        <v>0</v>
      </c>
      <c r="V9" s="5" t="str">
        <f>""</f>
        <v/>
      </c>
      <c r="W9" t="str">
        <f>"efg.pacific.holdings@gmail.com"</f>
        <v>efg.pacific.holdings@gmail.com</v>
      </c>
      <c r="X9" t="str">
        <f>"EFG PACIFIC HOLDINGS, LLC"</f>
        <v>EFG PACIFIC HOLDINGS, LLC</v>
      </c>
      <c r="Y9" t="str">
        <f>"ISLAND BEST CHOICE"</f>
        <v>ISLAND BEST CHOICE</v>
      </c>
      <c r="Z9" t="str">
        <f>"PMB 955 PO BOX 10000"</f>
        <v>PMB 955 PO BOX 10000</v>
      </c>
      <c r="AA9" t="str">
        <f>"ROOM 104 MARIANAS BUSINESS PLAZA NAURU LOOP SUSUPE"</f>
        <v>ROOM 104 MARIANAS BUSINESS PLAZA NAURU LOOP SUSUPE</v>
      </c>
      <c r="AB9" t="str">
        <f t="shared" si="9"/>
        <v>SAIPAN</v>
      </c>
      <c r="AC9" t="str">
        <f t="shared" si="4"/>
        <v>MP</v>
      </c>
      <c r="AD9" t="str">
        <f t="shared" si="5"/>
        <v>96950</v>
      </c>
      <c r="AE9" t="str">
        <f t="shared" si="6"/>
        <v>UNITED STATES OF AMERICA</v>
      </c>
      <c r="AF9" t="str">
        <f>""</f>
        <v/>
      </c>
      <c r="AG9" s="4" t="str">
        <f>"16702352883"</f>
        <v>16702352883</v>
      </c>
      <c r="AH9" t="str">
        <f>"0"</f>
        <v>0</v>
      </c>
      <c r="AI9" t="str">
        <f>"56132"</f>
        <v>56132</v>
      </c>
      <c r="AJ9" t="s">
        <v>79</v>
      </c>
      <c r="AK9" t="s">
        <v>79</v>
      </c>
      <c r="AL9" t="s">
        <v>80</v>
      </c>
      <c r="AM9" t="s">
        <v>79</v>
      </c>
      <c r="AP9" t="str">
        <f>"HOTEL, MOTEL AND RESORT DESK CLERK"</f>
        <v>HOTEL, MOTEL AND RESORT DESK CLERK</v>
      </c>
      <c r="AQ9" t="str">
        <f>"43-4081.00"</f>
        <v>43-4081.00</v>
      </c>
      <c r="AR9" t="str">
        <f>"Hotel, Motel, and Resort Desk Clerks"</f>
        <v>Hotel, Motel, and Resort Desk Clerks</v>
      </c>
      <c r="AS9" t="str">
        <f>"HOTEL MANAGER"</f>
        <v>HOTEL MANAGER</v>
      </c>
      <c r="AT9" t="s">
        <v>79</v>
      </c>
      <c r="AU9" t="str">
        <f>""</f>
        <v/>
      </c>
      <c r="AV9" t="str">
        <f>""</f>
        <v/>
      </c>
      <c r="AW9" t="s">
        <v>79</v>
      </c>
      <c r="AX9" t="str">
        <f>""</f>
        <v/>
      </c>
      <c r="AY9" t="s">
        <v>84</v>
      </c>
      <c r="BA9" t="s">
        <v>80</v>
      </c>
      <c r="BB9" t="s">
        <v>79</v>
      </c>
      <c r="BD9" t="s">
        <v>82</v>
      </c>
      <c r="BE9">
        <v>3</v>
      </c>
      <c r="BF9" t="s">
        <v>1643</v>
      </c>
      <c r="BG9" t="s">
        <v>82</v>
      </c>
      <c r="BH9">
        <v>6</v>
      </c>
      <c r="BI9" t="s">
        <v>1708</v>
      </c>
      <c r="BJ9" t="s">
        <v>1709</v>
      </c>
      <c r="BK9" t="str">
        <f>"PMB 955 PO BOX 10000"</f>
        <v>PMB 955 PO BOX 10000</v>
      </c>
      <c r="BL9" t="str">
        <f>"ROOM 104 MARIANAS BUSINESS PLAZA NAURU LOOP SUSUPE"</f>
        <v>ROOM 104 MARIANAS BUSINESS PLAZA NAURU LOOP SUSUPE</v>
      </c>
      <c r="BM9" t="str">
        <f t="shared" si="8"/>
        <v>SAIPAN</v>
      </c>
      <c r="BO9" t="s">
        <v>83</v>
      </c>
      <c r="BP9" s="4" t="str">
        <f t="shared" si="7"/>
        <v>96950</v>
      </c>
      <c r="BQ9" t="s">
        <v>79</v>
      </c>
      <c r="BR9" t="str">
        <f>"43-4081.00"</f>
        <v>43-4081.00</v>
      </c>
      <c r="BS9" t="s">
        <v>563</v>
      </c>
      <c r="BT9" s="3">
        <v>8.08</v>
      </c>
      <c r="BU9" t="s">
        <v>80</v>
      </c>
      <c r="BV9" t="s">
        <v>90</v>
      </c>
      <c r="BW9" t="s">
        <v>92</v>
      </c>
      <c r="BZ9" s="1">
        <v>45107</v>
      </c>
    </row>
    <row r="10" spans="1:78" ht="15" customHeight="1" x14ac:dyDescent="0.25">
      <c r="A10" t="s">
        <v>1710</v>
      </c>
      <c r="B10" t="s">
        <v>94</v>
      </c>
      <c r="C10" s="1">
        <v>44883</v>
      </c>
      <c r="D10" s="1">
        <v>44925</v>
      </c>
      <c r="H10" t="s">
        <v>78</v>
      </c>
      <c r="I10" t="str">
        <f>"GUILLO"</f>
        <v>GUILLO</v>
      </c>
      <c r="J10" t="str">
        <f>"EDEN"</f>
        <v>EDEN</v>
      </c>
      <c r="K10" t="str">
        <f>"FALLAR"</f>
        <v>FALLAR</v>
      </c>
      <c r="L10" t="str">
        <f>"GENERAL MANAGER"</f>
        <v>GENERAL MANAGER</v>
      </c>
      <c r="M10" t="str">
        <f>"PMB 955 PO BOX 10000"</f>
        <v>PMB 955 PO BOX 10000</v>
      </c>
      <c r="N10" t="str">
        <f>"ROOM 104 MARIANAS BUSINESS PLAZA NAURU LOOP SUSUPE"</f>
        <v>ROOM 104 MARIANAS BUSINESS PLAZA NAURU LOOP SUSUPE</v>
      </c>
      <c r="O10" t="str">
        <f t="shared" si="0"/>
        <v>SAIPAN</v>
      </c>
      <c r="P10" t="str">
        <f t="shared" si="1"/>
        <v>MP</v>
      </c>
      <c r="Q10" s="4" t="str">
        <f t="shared" si="2"/>
        <v>96950</v>
      </c>
      <c r="R10" t="str">
        <f t="shared" si="3"/>
        <v>UNITED STATES OF AMERICA</v>
      </c>
      <c r="S10" t="str">
        <f>""</f>
        <v/>
      </c>
      <c r="T10" s="5" t="str">
        <f>"16702352883"</f>
        <v>16702352883</v>
      </c>
      <c r="U10" t="str">
        <f>"0"</f>
        <v>0</v>
      </c>
      <c r="V10" s="5" t="str">
        <f>""</f>
        <v/>
      </c>
      <c r="W10" t="str">
        <f>"efg.pacific.holdings@gmail.com"</f>
        <v>efg.pacific.holdings@gmail.com</v>
      </c>
      <c r="X10" t="str">
        <f>"EFG PACIFIC HOLDINGS, LLC"</f>
        <v>EFG PACIFIC HOLDINGS, LLC</v>
      </c>
      <c r="Y10" t="str">
        <f>"ISLAND BEST CHOICE"</f>
        <v>ISLAND BEST CHOICE</v>
      </c>
      <c r="Z10" t="str">
        <f>"PMB 955 PO BOX 10000"</f>
        <v>PMB 955 PO BOX 10000</v>
      </c>
      <c r="AA10" t="str">
        <f>"ROOM 104 MARIANAS BUSINESS PLAZA NAURU LOOP SUSUPE"</f>
        <v>ROOM 104 MARIANAS BUSINESS PLAZA NAURU LOOP SUSUPE</v>
      </c>
      <c r="AB10" t="str">
        <f t="shared" si="9"/>
        <v>SAIPAN</v>
      </c>
      <c r="AC10" t="str">
        <f t="shared" si="4"/>
        <v>MP</v>
      </c>
      <c r="AD10" t="str">
        <f t="shared" si="5"/>
        <v>96950</v>
      </c>
      <c r="AE10" t="str">
        <f t="shared" si="6"/>
        <v>UNITED STATES OF AMERICA</v>
      </c>
      <c r="AF10" t="str">
        <f>""</f>
        <v/>
      </c>
      <c r="AG10" s="4" t="str">
        <f>"16702352883"</f>
        <v>16702352883</v>
      </c>
      <c r="AH10" t="str">
        <f>"0"</f>
        <v>0</v>
      </c>
      <c r="AI10" t="str">
        <f>"56132"</f>
        <v>56132</v>
      </c>
      <c r="AJ10" t="s">
        <v>79</v>
      </c>
      <c r="AK10" t="s">
        <v>79</v>
      </c>
      <c r="AL10" t="s">
        <v>80</v>
      </c>
      <c r="AM10" t="s">
        <v>79</v>
      </c>
      <c r="AP10" t="str">
        <f>"DRIVER SALES WORKER"</f>
        <v>DRIVER SALES WORKER</v>
      </c>
      <c r="AQ10" t="str">
        <f>"53-3031.00"</f>
        <v>53-3031.00</v>
      </c>
      <c r="AR10" t="str">
        <f>"Driver/Sales Workers"</f>
        <v>Driver/Sales Workers</v>
      </c>
      <c r="AS10" t="str">
        <f>"N/A"</f>
        <v>N/A</v>
      </c>
      <c r="AT10" t="s">
        <v>79</v>
      </c>
      <c r="AU10" t="str">
        <f>""</f>
        <v/>
      </c>
      <c r="AV10" t="str">
        <f>""</f>
        <v/>
      </c>
      <c r="AW10" t="s">
        <v>79</v>
      </c>
      <c r="AX10" t="str">
        <f>""</f>
        <v/>
      </c>
      <c r="AY10" t="s">
        <v>84</v>
      </c>
      <c r="BA10" t="s">
        <v>80</v>
      </c>
      <c r="BB10" t="s">
        <v>79</v>
      </c>
      <c r="BD10" t="s">
        <v>82</v>
      </c>
      <c r="BE10">
        <v>6</v>
      </c>
      <c r="BF10" t="s">
        <v>1643</v>
      </c>
      <c r="BG10" t="s">
        <v>82</v>
      </c>
      <c r="BH10">
        <v>12</v>
      </c>
      <c r="BI10" t="s">
        <v>1711</v>
      </c>
      <c r="BJ10" t="s">
        <v>1712</v>
      </c>
      <c r="BK10" t="str">
        <f>"PMB 955 PO BOX 10000"</f>
        <v>PMB 955 PO BOX 10000</v>
      </c>
      <c r="BL10" t="str">
        <f>"ROOM 104 MARIANAS BUSINESS PLAZA NAURU LOOP SUSUPE"</f>
        <v>ROOM 104 MARIANAS BUSINESS PLAZA NAURU LOOP SUSUPE</v>
      </c>
      <c r="BM10" t="str">
        <f t="shared" si="8"/>
        <v>SAIPAN</v>
      </c>
      <c r="BO10" t="s">
        <v>83</v>
      </c>
      <c r="BP10" s="4" t="str">
        <f t="shared" si="7"/>
        <v>96950</v>
      </c>
      <c r="BQ10" t="s">
        <v>79</v>
      </c>
      <c r="BR10" t="str">
        <f>"53-3031.00"</f>
        <v>53-3031.00</v>
      </c>
      <c r="BS10" t="s">
        <v>629</v>
      </c>
      <c r="BT10" s="3">
        <v>8.06</v>
      </c>
      <c r="BU10" t="s">
        <v>80</v>
      </c>
      <c r="BV10" t="s">
        <v>90</v>
      </c>
      <c r="BW10" t="s">
        <v>92</v>
      </c>
      <c r="BZ10" s="1">
        <v>45107</v>
      </c>
    </row>
    <row r="11" spans="1:78" ht="15" customHeight="1" x14ac:dyDescent="0.25">
      <c r="A11" t="s">
        <v>1713</v>
      </c>
      <c r="B11" t="s">
        <v>94</v>
      </c>
      <c r="C11" s="1">
        <v>44883</v>
      </c>
      <c r="D11" s="1">
        <v>44925</v>
      </c>
      <c r="H11" t="s">
        <v>78</v>
      </c>
      <c r="I11" t="str">
        <f>"Ham"</f>
        <v>Ham</v>
      </c>
      <c r="J11" t="str">
        <f>"Jun"</f>
        <v>Jun</v>
      </c>
      <c r="K11" t="str">
        <f>""</f>
        <v/>
      </c>
      <c r="L11" t="str">
        <f>"Human Resources Manager"</f>
        <v>Human Resources Manager</v>
      </c>
      <c r="M11" t="str">
        <f>"P.O. Box 500066"</f>
        <v>P.O. Box 500066</v>
      </c>
      <c r="N11" t="str">
        <f>""</f>
        <v/>
      </c>
      <c r="O11" t="str">
        <f>"Saipan"</f>
        <v>Saipan</v>
      </c>
      <c r="P11" t="str">
        <f t="shared" si="1"/>
        <v>MP</v>
      </c>
      <c r="Q11" s="4" t="str">
        <f t="shared" si="2"/>
        <v>96950</v>
      </c>
      <c r="R11" t="str">
        <f t="shared" si="3"/>
        <v>UNITED STATES OF AMERICA</v>
      </c>
      <c r="S11" t="str">
        <f>""</f>
        <v/>
      </c>
      <c r="T11" s="5" t="str">
        <f>"1670234590"</f>
        <v>1670234590</v>
      </c>
      <c r="U11" t="str">
        <f>"574"</f>
        <v>574</v>
      </c>
      <c r="V11" s="5" t="str">
        <f>""</f>
        <v/>
      </c>
      <c r="W11" t="str">
        <f>"jun@saipanworldresort.com"</f>
        <v>jun@saipanworldresort.com</v>
      </c>
      <c r="X11" t="str">
        <f>"World Coporation"</f>
        <v>World Coporation</v>
      </c>
      <c r="Y11" t="str">
        <f>"Saipan World Resort"</f>
        <v>Saipan World Resort</v>
      </c>
      <c r="Z11" t="str">
        <f>"P.O. Box 500066"</f>
        <v>P.O. Box 500066</v>
      </c>
      <c r="AA11" t="str">
        <f>""</f>
        <v/>
      </c>
      <c r="AB11" t="str">
        <f>"Saipan"</f>
        <v>Saipan</v>
      </c>
      <c r="AC11" t="str">
        <f t="shared" si="4"/>
        <v>MP</v>
      </c>
      <c r="AD11" t="str">
        <f t="shared" si="5"/>
        <v>96950</v>
      </c>
      <c r="AE11" t="str">
        <f t="shared" si="6"/>
        <v>UNITED STATES OF AMERICA</v>
      </c>
      <c r="AF11" t="str">
        <f>""</f>
        <v/>
      </c>
      <c r="AG11" s="4" t="str">
        <f>"16702345900"</f>
        <v>16702345900</v>
      </c>
      <c r="AH11" t="str">
        <f>"266"</f>
        <v>266</v>
      </c>
      <c r="AI11" t="str">
        <f>"721110"</f>
        <v>721110</v>
      </c>
      <c r="AJ11" t="s">
        <v>79</v>
      </c>
      <c r="AK11" t="s">
        <v>79</v>
      </c>
      <c r="AL11" t="s">
        <v>80</v>
      </c>
      <c r="AM11" t="s">
        <v>79</v>
      </c>
      <c r="AP11" t="str">
        <f>"Bartender"</f>
        <v>Bartender</v>
      </c>
      <c r="AQ11" t="str">
        <f>"35-3011.00"</f>
        <v>35-3011.00</v>
      </c>
      <c r="AR11" t="str">
        <f>"Bartenders"</f>
        <v>Bartenders</v>
      </c>
      <c r="AS11" t="str">
        <f>"Food &amp; Beverage Supervisor"</f>
        <v>Food &amp; Beverage Supervisor</v>
      </c>
      <c r="AT11" t="s">
        <v>79</v>
      </c>
      <c r="AU11" t="str">
        <f>""</f>
        <v/>
      </c>
      <c r="AV11" t="str">
        <f>""</f>
        <v/>
      </c>
      <c r="AW11" t="s">
        <v>79</v>
      </c>
      <c r="AX11" t="str">
        <f>""</f>
        <v/>
      </c>
      <c r="AY11" t="s">
        <v>84</v>
      </c>
      <c r="BA11" t="s">
        <v>119</v>
      </c>
      <c r="BB11" t="s">
        <v>79</v>
      </c>
      <c r="BD11" t="s">
        <v>79</v>
      </c>
      <c r="BG11" t="s">
        <v>82</v>
      </c>
      <c r="BH11">
        <v>3</v>
      </c>
      <c r="BI11" t="s">
        <v>659</v>
      </c>
      <c r="BJ11" t="s">
        <v>702</v>
      </c>
      <c r="BK11" t="str">
        <f>"Beach Road Susupe"</f>
        <v>Beach Road Susupe</v>
      </c>
      <c r="BL11" t="str">
        <f>""</f>
        <v/>
      </c>
      <c r="BM11" t="str">
        <f>"Saipan"</f>
        <v>Saipan</v>
      </c>
      <c r="BO11" t="s">
        <v>83</v>
      </c>
      <c r="BP11" s="4" t="str">
        <f t="shared" si="7"/>
        <v>96950</v>
      </c>
      <c r="BQ11" t="s">
        <v>79</v>
      </c>
      <c r="BR11" t="str">
        <f>"35-3011.00"</f>
        <v>35-3011.00</v>
      </c>
      <c r="BS11" t="s">
        <v>661</v>
      </c>
      <c r="BT11" s="3">
        <v>8.3800000000000008</v>
      </c>
      <c r="BU11" t="s">
        <v>80</v>
      </c>
      <c r="BV11" t="s">
        <v>90</v>
      </c>
      <c r="BW11" t="s">
        <v>92</v>
      </c>
      <c r="BZ11" s="1">
        <v>45107</v>
      </c>
    </row>
    <row r="12" spans="1:78" ht="15" customHeight="1" x14ac:dyDescent="0.25">
      <c r="A12" t="s">
        <v>1714</v>
      </c>
      <c r="B12" t="s">
        <v>94</v>
      </c>
      <c r="C12" s="1">
        <v>44883</v>
      </c>
      <c r="D12" s="1">
        <v>44925</v>
      </c>
      <c r="H12" t="s">
        <v>78</v>
      </c>
      <c r="I12" t="str">
        <f>"GUILLO"</f>
        <v>GUILLO</v>
      </c>
      <c r="J12" t="str">
        <f>"EDEN"</f>
        <v>EDEN</v>
      </c>
      <c r="K12" t="str">
        <f>"FALLAR"</f>
        <v>FALLAR</v>
      </c>
      <c r="L12" t="str">
        <f>"GENERAL MANAGER"</f>
        <v>GENERAL MANAGER</v>
      </c>
      <c r="M12" t="str">
        <f>"PMB 955 PO BOX 10000"</f>
        <v>PMB 955 PO BOX 10000</v>
      </c>
      <c r="N12" t="str">
        <f>"ROOM 104 MARIANAS BUSINESS PLAZA NAURU LOOP SUSUPE"</f>
        <v>ROOM 104 MARIANAS BUSINESS PLAZA NAURU LOOP SUSUPE</v>
      </c>
      <c r="O12" t="str">
        <f>"SAIPAN"</f>
        <v>SAIPAN</v>
      </c>
      <c r="P12" t="str">
        <f t="shared" si="1"/>
        <v>MP</v>
      </c>
      <c r="Q12" s="4" t="str">
        <f t="shared" si="2"/>
        <v>96950</v>
      </c>
      <c r="R12" t="str">
        <f t="shared" si="3"/>
        <v>UNITED STATES OF AMERICA</v>
      </c>
      <c r="S12" t="str">
        <f>""</f>
        <v/>
      </c>
      <c r="T12" s="5" t="str">
        <f>"16702352883"</f>
        <v>16702352883</v>
      </c>
      <c r="U12" t="str">
        <f>"0"</f>
        <v>0</v>
      </c>
      <c r="V12" s="5" t="str">
        <f>""</f>
        <v/>
      </c>
      <c r="W12" t="str">
        <f>"efg.pacific.holdings@gmail.com"</f>
        <v>efg.pacific.holdings@gmail.com</v>
      </c>
      <c r="X12" t="str">
        <f>"EFG PACIFIC HOLDINGS, LLC"</f>
        <v>EFG PACIFIC HOLDINGS, LLC</v>
      </c>
      <c r="Y12" t="str">
        <f>"ISLAND BEST CHOICE"</f>
        <v>ISLAND BEST CHOICE</v>
      </c>
      <c r="Z12" t="str">
        <f>"PMB 955 PO BOX 10000"</f>
        <v>PMB 955 PO BOX 10000</v>
      </c>
      <c r="AA12" t="str">
        <f>"ROOM 104 MARIANAS BUSINESS PLAZA NAURU LOOP SUSUPE"</f>
        <v>ROOM 104 MARIANAS BUSINESS PLAZA NAURU LOOP SUSUPE</v>
      </c>
      <c r="AB12" t="str">
        <f>"SAIPAN"</f>
        <v>SAIPAN</v>
      </c>
      <c r="AC12" t="str">
        <f t="shared" si="4"/>
        <v>MP</v>
      </c>
      <c r="AD12" t="str">
        <f t="shared" si="5"/>
        <v>96950</v>
      </c>
      <c r="AE12" t="str">
        <f t="shared" si="6"/>
        <v>UNITED STATES OF AMERICA</v>
      </c>
      <c r="AF12" t="str">
        <f>""</f>
        <v/>
      </c>
      <c r="AG12" s="4" t="str">
        <f>"16702352883"</f>
        <v>16702352883</v>
      </c>
      <c r="AH12" t="str">
        <f>"0"</f>
        <v>0</v>
      </c>
      <c r="AI12" t="str">
        <f>"56132"</f>
        <v>56132</v>
      </c>
      <c r="AJ12" t="s">
        <v>79</v>
      </c>
      <c r="AK12" t="s">
        <v>79</v>
      </c>
      <c r="AL12" t="s">
        <v>80</v>
      </c>
      <c r="AM12" t="s">
        <v>79</v>
      </c>
      <c r="AP12" t="str">
        <f>"MASSAGE THERAPIST"</f>
        <v>MASSAGE THERAPIST</v>
      </c>
      <c r="AQ12" t="str">
        <f>"31-9011.00"</f>
        <v>31-9011.00</v>
      </c>
      <c r="AR12" t="str">
        <f>"Massage Therapists"</f>
        <v>Massage Therapists</v>
      </c>
      <c r="AS12" t="str">
        <f>"N/A"</f>
        <v>N/A</v>
      </c>
      <c r="AT12" t="s">
        <v>79</v>
      </c>
      <c r="AU12" t="str">
        <f>""</f>
        <v/>
      </c>
      <c r="AV12" t="str">
        <f>""</f>
        <v/>
      </c>
      <c r="AW12" t="s">
        <v>79</v>
      </c>
      <c r="AX12" t="str">
        <f>""</f>
        <v/>
      </c>
      <c r="AY12" t="s">
        <v>84</v>
      </c>
      <c r="BA12" t="s">
        <v>80</v>
      </c>
      <c r="BB12" t="s">
        <v>79</v>
      </c>
      <c r="BD12" t="s">
        <v>82</v>
      </c>
      <c r="BE12">
        <v>6</v>
      </c>
      <c r="BF12" t="s">
        <v>1715</v>
      </c>
      <c r="BG12" t="s">
        <v>82</v>
      </c>
      <c r="BH12">
        <v>12</v>
      </c>
      <c r="BI12" t="s">
        <v>992</v>
      </c>
      <c r="BJ12" s="2" t="s">
        <v>1716</v>
      </c>
      <c r="BK12" t="str">
        <f>"PMB 955 PO BOX 10000"</f>
        <v>PMB 955 PO BOX 10000</v>
      </c>
      <c r="BL12" t="str">
        <f>"ROOM 104 MARIANAS BUSINESS PLAZA NAURU LOOP SUSUPE"</f>
        <v>ROOM 104 MARIANAS BUSINESS PLAZA NAURU LOOP SUSUPE</v>
      </c>
      <c r="BM12" t="str">
        <f>"SAIPAN"</f>
        <v>SAIPAN</v>
      </c>
      <c r="BO12" t="s">
        <v>83</v>
      </c>
      <c r="BP12" s="4" t="str">
        <f t="shared" si="7"/>
        <v>96950</v>
      </c>
      <c r="BQ12" t="s">
        <v>79</v>
      </c>
      <c r="BR12" t="str">
        <f>"31-9011.00"</f>
        <v>31-9011.00</v>
      </c>
      <c r="BS12" t="s">
        <v>348</v>
      </c>
      <c r="BT12" s="3">
        <v>11.46</v>
      </c>
      <c r="BU12" t="s">
        <v>80</v>
      </c>
      <c r="BV12" t="s">
        <v>90</v>
      </c>
      <c r="BW12" t="s">
        <v>92</v>
      </c>
      <c r="BZ12" s="1">
        <v>45107</v>
      </c>
    </row>
    <row r="13" spans="1:78" ht="15" customHeight="1" x14ac:dyDescent="0.25">
      <c r="A13" t="s">
        <v>1689</v>
      </c>
      <c r="B13" t="s">
        <v>94</v>
      </c>
      <c r="C13" s="1">
        <v>44882</v>
      </c>
      <c r="D13" s="1">
        <v>44922</v>
      </c>
      <c r="H13" t="s">
        <v>78</v>
      </c>
      <c r="I13" t="str">
        <f>"MENDIOLA-LONG"</f>
        <v>MENDIOLA-LONG</v>
      </c>
      <c r="J13" t="str">
        <f>"PHILLIP"</f>
        <v>PHILLIP</v>
      </c>
      <c r="K13" t="str">
        <f>"THOMAS"</f>
        <v>THOMAS</v>
      </c>
      <c r="L13" t="str">
        <f>"CHIEF EXECUTIVE OFFICER"</f>
        <v>CHIEF EXECUTIVE OFFICER</v>
      </c>
      <c r="M13" t="str">
        <f>"SAN JOSE VILLAGE"</f>
        <v>SAN JOSE VILLAGE</v>
      </c>
      <c r="N13" t="str">
        <f>"P.O. BOX 520800"</f>
        <v>P.O. BOX 520800</v>
      </c>
      <c r="O13" t="str">
        <f>"TINIAN"</f>
        <v>TINIAN</v>
      </c>
      <c r="P13" t="str">
        <f t="shared" si="1"/>
        <v>MP</v>
      </c>
      <c r="Q13" s="4" t="str">
        <f>"96952"</f>
        <v>96952</v>
      </c>
      <c r="R13" t="str">
        <f t="shared" si="3"/>
        <v>UNITED STATES OF AMERICA</v>
      </c>
      <c r="S13" t="str">
        <f>"N/A"</f>
        <v>N/A</v>
      </c>
      <c r="T13" s="5" t="str">
        <f>"16709894711"</f>
        <v>16709894711</v>
      </c>
      <c r="U13" t="str">
        <f>""</f>
        <v/>
      </c>
      <c r="V13" s="5" t="str">
        <f>""</f>
        <v/>
      </c>
      <c r="W13" t="str">
        <f>"jobs@tinianservice.com"</f>
        <v>jobs@tinianservice.com</v>
      </c>
      <c r="X13" t="str">
        <f>"TINIAN FUEL SERVICES, INC."</f>
        <v>TINIAN FUEL SERVICES, INC.</v>
      </c>
      <c r="Y13" t="str">
        <f>"TINIAN LANDSCAPING AND CUSTODIAL SERVICES; TLC GENERAL CONTRACTOR"</f>
        <v>TINIAN LANDSCAPING AND CUSTODIAL SERVICES; TLC GENERAL CONTRACTOR</v>
      </c>
      <c r="Z13" t="str">
        <f>"SAN JOSE VILLAGE"</f>
        <v>SAN JOSE VILLAGE</v>
      </c>
      <c r="AA13" t="str">
        <f>"P.O. BOX 520800"</f>
        <v>P.O. BOX 520800</v>
      </c>
      <c r="AB13" t="str">
        <f>"TINIAN"</f>
        <v>TINIAN</v>
      </c>
      <c r="AC13" t="str">
        <f t="shared" si="4"/>
        <v>MP</v>
      </c>
      <c r="AD13" t="str">
        <f>"96952"</f>
        <v>96952</v>
      </c>
      <c r="AE13" t="str">
        <f t="shared" si="6"/>
        <v>UNITED STATES OF AMERICA</v>
      </c>
      <c r="AF13" t="str">
        <f>"N/A"</f>
        <v>N/A</v>
      </c>
      <c r="AG13" s="4" t="str">
        <f>"16704334428"</f>
        <v>16704334428</v>
      </c>
      <c r="AH13" t="str">
        <f>""</f>
        <v/>
      </c>
      <c r="AI13" t="str">
        <f>"447110"</f>
        <v>447110</v>
      </c>
      <c r="AJ13" t="s">
        <v>79</v>
      </c>
      <c r="AK13" t="s">
        <v>79</v>
      </c>
      <c r="AL13" t="s">
        <v>80</v>
      </c>
      <c r="AM13" t="s">
        <v>79</v>
      </c>
      <c r="AP13" t="str">
        <f>"GAS STATION ATTENDANT"</f>
        <v>GAS STATION ATTENDANT</v>
      </c>
      <c r="AQ13" t="str">
        <f>"53-6031.00"</f>
        <v>53-6031.00</v>
      </c>
      <c r="AR13" t="str">
        <f>"Automotive and Watercraft Service Attendants"</f>
        <v>Automotive and Watercraft Service Attendants</v>
      </c>
      <c r="AS13" t="str">
        <f>""</f>
        <v/>
      </c>
      <c r="AT13" t="s">
        <v>79</v>
      </c>
      <c r="AU13" t="str">
        <f>""</f>
        <v/>
      </c>
      <c r="AV13" t="str">
        <f>""</f>
        <v/>
      </c>
      <c r="AW13" t="s">
        <v>79</v>
      </c>
      <c r="AX13" t="str">
        <f>""</f>
        <v/>
      </c>
      <c r="AY13" t="s">
        <v>84</v>
      </c>
      <c r="BA13" t="s">
        <v>80</v>
      </c>
      <c r="BB13" t="s">
        <v>79</v>
      </c>
      <c r="BD13" t="s">
        <v>82</v>
      </c>
      <c r="BE13">
        <v>6</v>
      </c>
      <c r="BF13" t="s">
        <v>1690</v>
      </c>
      <c r="BG13" t="s">
        <v>82</v>
      </c>
      <c r="BH13">
        <v>6</v>
      </c>
      <c r="BI13" t="s">
        <v>1691</v>
      </c>
      <c r="BJ13" t="s">
        <v>1692</v>
      </c>
      <c r="BK13" t="str">
        <f>"SAN JOSE VILLAGE"</f>
        <v>SAN JOSE VILLAGE</v>
      </c>
      <c r="BL13" t="str">
        <f>"P.O. BOX 520800"</f>
        <v>P.O. BOX 520800</v>
      </c>
      <c r="BM13" t="str">
        <f>"TINIAN"</f>
        <v>TINIAN</v>
      </c>
      <c r="BO13" t="s">
        <v>83</v>
      </c>
      <c r="BP13" s="4" t="str">
        <f>"96952"</f>
        <v>96952</v>
      </c>
      <c r="BQ13" t="s">
        <v>79</v>
      </c>
      <c r="BR13" t="str">
        <f>"53-6031.00"</f>
        <v>53-6031.00</v>
      </c>
      <c r="BS13" t="s">
        <v>138</v>
      </c>
      <c r="BT13" s="3">
        <v>8.4600000000000009</v>
      </c>
      <c r="BU13" t="s">
        <v>80</v>
      </c>
      <c r="BV13" t="s">
        <v>90</v>
      </c>
      <c r="BW13" t="s">
        <v>92</v>
      </c>
      <c r="BZ13" s="1">
        <v>45107</v>
      </c>
    </row>
    <row r="14" spans="1:78" ht="15" customHeight="1" x14ac:dyDescent="0.25">
      <c r="A14" t="s">
        <v>1693</v>
      </c>
      <c r="B14" t="s">
        <v>94</v>
      </c>
      <c r="C14" s="1">
        <v>44882</v>
      </c>
      <c r="D14" s="1">
        <v>44922</v>
      </c>
      <c r="H14" t="s">
        <v>78</v>
      </c>
      <c r="I14" t="str">
        <f>"FERNANDEZ"</f>
        <v>FERNANDEZ</v>
      </c>
      <c r="J14" t="str">
        <f>"TERESITA"</f>
        <v>TERESITA</v>
      </c>
      <c r="K14" t="str">
        <f>"MANARANG"</f>
        <v>MANARANG</v>
      </c>
      <c r="L14" t="str">
        <f>"VICE PRESIDENT"</f>
        <v>VICE PRESIDENT</v>
      </c>
      <c r="M14" t="str">
        <f>"P.O. BOX 502706, AS PERDIDO ROAD"</f>
        <v>P.O. BOX 502706, AS PERDIDO ROAD</v>
      </c>
      <c r="N14" t="str">
        <f>"CHALAN PIAO"</f>
        <v>CHALAN PIAO</v>
      </c>
      <c r="O14" t="str">
        <f>"SAIPAN"</f>
        <v>SAIPAN</v>
      </c>
      <c r="P14" t="str">
        <f t="shared" si="1"/>
        <v>MP</v>
      </c>
      <c r="Q14" s="4" t="str">
        <f>"96950"</f>
        <v>96950</v>
      </c>
      <c r="R14" t="str">
        <f t="shared" si="3"/>
        <v>UNITED STATES OF AMERICA</v>
      </c>
      <c r="S14" t="str">
        <f>"MP"</f>
        <v>MP</v>
      </c>
      <c r="T14" s="5" t="str">
        <f>"16702351024"</f>
        <v>16702351024</v>
      </c>
      <c r="U14" t="str">
        <f>""</f>
        <v/>
      </c>
      <c r="V14" s="5" t="str">
        <f>""</f>
        <v/>
      </c>
      <c r="W14" t="str">
        <f>"tfcgeneralconstruction@yahoo.com"</f>
        <v>tfcgeneralconstruction@yahoo.com</v>
      </c>
      <c r="X14" t="str">
        <f>"TFC CORPORATION"</f>
        <v>TFC CORPORATION</v>
      </c>
      <c r="Y14" t="str">
        <f>"TFC GENERAL CONSTRUCTION"</f>
        <v>TFC GENERAL CONSTRUCTION</v>
      </c>
      <c r="Z14" t="str">
        <f>"P.O. BOX 502706, AS PERDIDO ROAD"</f>
        <v>P.O. BOX 502706, AS PERDIDO ROAD</v>
      </c>
      <c r="AA14" t="str">
        <f>"CHALAN PIAO"</f>
        <v>CHALAN PIAO</v>
      </c>
      <c r="AB14" t="str">
        <f>"SAIPAN"</f>
        <v>SAIPAN</v>
      </c>
      <c r="AC14" t="str">
        <f t="shared" si="4"/>
        <v>MP</v>
      </c>
      <c r="AD14" t="str">
        <f>"96950"</f>
        <v>96950</v>
      </c>
      <c r="AE14" t="str">
        <f t="shared" si="6"/>
        <v>UNITED STATES OF AMERICA</v>
      </c>
      <c r="AF14" t="str">
        <f>"MP"</f>
        <v>MP</v>
      </c>
      <c r="AG14" s="4" t="str">
        <f>"16702351024"</f>
        <v>16702351024</v>
      </c>
      <c r="AH14" t="str">
        <f>""</f>
        <v/>
      </c>
      <c r="AI14" t="str">
        <f>"236116"</f>
        <v>236116</v>
      </c>
      <c r="AJ14" t="s">
        <v>79</v>
      </c>
      <c r="AK14" t="s">
        <v>79</v>
      </c>
      <c r="AL14" t="s">
        <v>80</v>
      </c>
      <c r="AM14" t="s">
        <v>79</v>
      </c>
      <c r="AP14" t="str">
        <f>"MAINTENANCE WORKER"</f>
        <v>MAINTENANCE WORKER</v>
      </c>
      <c r="AQ14" t="str">
        <f>"49-9071.00"</f>
        <v>49-9071.00</v>
      </c>
      <c r="AR14" t="str">
        <f>"Maintenance and Repair Workers, General"</f>
        <v>Maintenance and Repair Workers, General</v>
      </c>
      <c r="AS14" t="str">
        <f>"MANAGER"</f>
        <v>MANAGER</v>
      </c>
      <c r="AT14" t="s">
        <v>79</v>
      </c>
      <c r="AU14" t="str">
        <f>""</f>
        <v/>
      </c>
      <c r="AV14" t="str">
        <f>""</f>
        <v/>
      </c>
      <c r="AW14" t="s">
        <v>79</v>
      </c>
      <c r="AX14" t="str">
        <f>""</f>
        <v/>
      </c>
      <c r="AY14" t="s">
        <v>84</v>
      </c>
      <c r="BA14" t="s">
        <v>80</v>
      </c>
      <c r="BB14" t="s">
        <v>79</v>
      </c>
      <c r="BD14" t="s">
        <v>79</v>
      </c>
      <c r="BG14" t="s">
        <v>82</v>
      </c>
      <c r="BH14">
        <v>6</v>
      </c>
      <c r="BI14" t="s">
        <v>1694</v>
      </c>
      <c r="BJ14" t="s">
        <v>1695</v>
      </c>
      <c r="BK14" t="str">
        <f>"AS PERDIDO ROAD"</f>
        <v>AS PERDIDO ROAD</v>
      </c>
      <c r="BL14" t="str">
        <f>"CHALAN PIAO"</f>
        <v>CHALAN PIAO</v>
      </c>
      <c r="BM14" t="str">
        <f>"SAIPAN"</f>
        <v>SAIPAN</v>
      </c>
      <c r="BO14" t="s">
        <v>83</v>
      </c>
      <c r="BP14" s="4" t="str">
        <f>"96950"</f>
        <v>96950</v>
      </c>
      <c r="BQ14" t="s">
        <v>79</v>
      </c>
      <c r="BR14" t="str">
        <f>"49-9071.00"</f>
        <v>49-9071.00</v>
      </c>
      <c r="BS14" t="s">
        <v>146</v>
      </c>
      <c r="BT14" s="3">
        <v>9.19</v>
      </c>
      <c r="BU14" t="s">
        <v>80</v>
      </c>
      <c r="BV14" t="s">
        <v>90</v>
      </c>
      <c r="BW14" t="s">
        <v>92</v>
      </c>
      <c r="BZ14" s="1">
        <v>45107</v>
      </c>
    </row>
    <row r="15" spans="1:78" ht="15" customHeight="1" x14ac:dyDescent="0.25">
      <c r="A15" t="s">
        <v>1696</v>
      </c>
      <c r="B15" t="s">
        <v>94</v>
      </c>
      <c r="C15" s="1">
        <v>44882</v>
      </c>
      <c r="D15" s="1">
        <v>44922</v>
      </c>
      <c r="H15" t="s">
        <v>78</v>
      </c>
      <c r="I15" t="str">
        <f>"KING"</f>
        <v>KING</v>
      </c>
      <c r="J15" t="str">
        <f>"IRENE ROSE"</f>
        <v>IRENE ROSE</v>
      </c>
      <c r="K15" t="str">
        <f>"DONA"</f>
        <v>DONA</v>
      </c>
      <c r="L15" t="str">
        <f>"PROPRIETOR"</f>
        <v>PROPRIETOR</v>
      </c>
      <c r="M15" t="str">
        <f>"P.O. BOX 520178, GRAND ST."</f>
        <v>P.O. BOX 520178, GRAND ST.</v>
      </c>
      <c r="N15" t="str">
        <f>"SAN JOSE"</f>
        <v>SAN JOSE</v>
      </c>
      <c r="O15" t="str">
        <f>"TINIAN"</f>
        <v>TINIAN</v>
      </c>
      <c r="P15" t="str">
        <f t="shared" si="1"/>
        <v>MP</v>
      </c>
      <c r="Q15" s="4" t="str">
        <f>"96952"</f>
        <v>96952</v>
      </c>
      <c r="R15" t="str">
        <f t="shared" si="3"/>
        <v>UNITED STATES OF AMERICA</v>
      </c>
      <c r="S15" t="str">
        <f>"MP"</f>
        <v>MP</v>
      </c>
      <c r="T15" s="5" t="str">
        <f>"16704333886"</f>
        <v>16704333886</v>
      </c>
      <c r="U15" t="str">
        <f>""</f>
        <v/>
      </c>
      <c r="V15" s="5" t="str">
        <f>""</f>
        <v/>
      </c>
      <c r="W15" t="str">
        <f>"kingirenerose@gmail.com"</f>
        <v>kingirenerose@gmail.com</v>
      </c>
      <c r="X15" t="str">
        <f>"IRENE ROSE D. KING"</f>
        <v>IRENE ROSE D. KING</v>
      </c>
      <c r="Y15" t="str">
        <f>"ISLAND STORE"</f>
        <v>ISLAND STORE</v>
      </c>
      <c r="Z15" t="str">
        <f>"P.O. BOX 520178, GRAND ST."</f>
        <v>P.O. BOX 520178, GRAND ST.</v>
      </c>
      <c r="AA15" t="str">
        <f>"SAN JOSE"</f>
        <v>SAN JOSE</v>
      </c>
      <c r="AB15" t="str">
        <f>"TINIAN"</f>
        <v>TINIAN</v>
      </c>
      <c r="AC15" t="str">
        <f t="shared" si="4"/>
        <v>MP</v>
      </c>
      <c r="AD15" t="str">
        <f>"96952"</f>
        <v>96952</v>
      </c>
      <c r="AE15" t="str">
        <f t="shared" si="6"/>
        <v>UNITED STATES OF AMERICA</v>
      </c>
      <c r="AF15" t="str">
        <f>"MP"</f>
        <v>MP</v>
      </c>
      <c r="AG15" s="4" t="str">
        <f>"16704333886"</f>
        <v>16704333886</v>
      </c>
      <c r="AH15" t="str">
        <f>""</f>
        <v/>
      </c>
      <c r="AI15" t="str">
        <f>"72233"</f>
        <v>72233</v>
      </c>
      <c r="AJ15" t="s">
        <v>79</v>
      </c>
      <c r="AK15" t="s">
        <v>79</v>
      </c>
      <c r="AL15" t="s">
        <v>80</v>
      </c>
      <c r="AM15" t="s">
        <v>79</v>
      </c>
      <c r="AP15" t="str">
        <f>"COOK"</f>
        <v>COOK</v>
      </c>
      <c r="AQ15" t="str">
        <f>"35-2015.00"</f>
        <v>35-2015.00</v>
      </c>
      <c r="AR15" t="str">
        <f>"Cooks, Short Order"</f>
        <v>Cooks, Short Order</v>
      </c>
      <c r="AS15" t="str">
        <f>"MANAGER"</f>
        <v>MANAGER</v>
      </c>
      <c r="AT15" t="s">
        <v>79</v>
      </c>
      <c r="AU15" t="str">
        <f>""</f>
        <v/>
      </c>
      <c r="AV15" t="str">
        <f>""</f>
        <v/>
      </c>
      <c r="AW15" t="s">
        <v>79</v>
      </c>
      <c r="AX15" t="str">
        <f>""</f>
        <v/>
      </c>
      <c r="AY15" t="s">
        <v>81</v>
      </c>
      <c r="BA15" t="s">
        <v>80</v>
      </c>
      <c r="BB15" t="s">
        <v>79</v>
      </c>
      <c r="BD15" t="s">
        <v>79</v>
      </c>
      <c r="BG15" t="s">
        <v>82</v>
      </c>
      <c r="BH15">
        <v>6</v>
      </c>
      <c r="BI15" t="s">
        <v>285</v>
      </c>
      <c r="BJ15" t="s">
        <v>1697</v>
      </c>
      <c r="BK15" t="str">
        <f>"GRAND ST."</f>
        <v>GRAND ST.</v>
      </c>
      <c r="BL15" t="str">
        <f>"SAN JOSE"</f>
        <v>SAN JOSE</v>
      </c>
      <c r="BM15" t="str">
        <f>"TINIAN"</f>
        <v>TINIAN</v>
      </c>
      <c r="BO15" t="s">
        <v>83</v>
      </c>
      <c r="BP15" s="4" t="str">
        <f>"96952"</f>
        <v>96952</v>
      </c>
      <c r="BQ15" t="s">
        <v>79</v>
      </c>
      <c r="BR15" t="str">
        <f>"35-2015.00"</f>
        <v>35-2015.00</v>
      </c>
      <c r="BS15" t="s">
        <v>1165</v>
      </c>
      <c r="BT15" s="3">
        <v>8.76</v>
      </c>
      <c r="BU15" t="s">
        <v>80</v>
      </c>
      <c r="BV15" t="s">
        <v>90</v>
      </c>
      <c r="BW15" t="s">
        <v>92</v>
      </c>
      <c r="BZ15" s="1">
        <v>45107</v>
      </c>
    </row>
    <row r="16" spans="1:78" ht="15" customHeight="1" x14ac:dyDescent="0.25">
      <c r="A16" t="s">
        <v>1698</v>
      </c>
      <c r="B16" t="s">
        <v>94</v>
      </c>
      <c r="C16" s="1">
        <v>44882</v>
      </c>
      <c r="D16" s="1">
        <v>44922</v>
      </c>
      <c r="H16" t="s">
        <v>78</v>
      </c>
      <c r="I16" t="str">
        <f>"EISGROU"</f>
        <v>EISGROU</v>
      </c>
      <c r="J16" t="str">
        <f>"NEAL"</f>
        <v>NEAL</v>
      </c>
      <c r="K16" t="str">
        <f>"B"</f>
        <v>B</v>
      </c>
      <c r="L16" t="str">
        <f>"PROPRIETOR"</f>
        <v>PROPRIETOR</v>
      </c>
      <c r="M16" t="str">
        <f>"808 SW 17TH ST"</f>
        <v>808 SW 17TH ST</v>
      </c>
      <c r="N16" t="str">
        <f>""</f>
        <v/>
      </c>
      <c r="O16" t="str">
        <f>"FORT LAUDERDALE"</f>
        <v>FORT LAUDERDALE</v>
      </c>
      <c r="P16" t="str">
        <f>"FL"</f>
        <v>FL</v>
      </c>
      <c r="Q16" s="4" t="str">
        <f>"33315"</f>
        <v>33315</v>
      </c>
      <c r="R16" t="str">
        <f t="shared" si="3"/>
        <v>UNITED STATES OF AMERICA</v>
      </c>
      <c r="S16" t="str">
        <f>""</f>
        <v/>
      </c>
      <c r="T16" s="5" t="str">
        <f>"13057107039"</f>
        <v>13057107039</v>
      </c>
      <c r="U16" t="str">
        <f>""</f>
        <v/>
      </c>
      <c r="V16" s="5" t="str">
        <f>""</f>
        <v/>
      </c>
      <c r="W16" t="str">
        <f>"JCCAFE@YMAIL.COM"</f>
        <v>JCCAFE@YMAIL.COM</v>
      </c>
      <c r="X16" t="str">
        <f>"NEAL B EISGROU"</f>
        <v>NEAL B EISGROU</v>
      </c>
      <c r="Y16" t="str">
        <f>"JC CAFE RESTAURANT &amp; KARAOKE LOUNGE"</f>
        <v>JC CAFE RESTAURANT &amp; KARAOKE LOUNGE</v>
      </c>
      <c r="Z16" t="str">
        <f>"LOT 003T57"</f>
        <v>LOT 003T57</v>
      </c>
      <c r="AA16" t="str">
        <f>""</f>
        <v/>
      </c>
      <c r="AB16" t="str">
        <f>"TINIAN"</f>
        <v>TINIAN</v>
      </c>
      <c r="AC16" t="str">
        <f t="shared" si="4"/>
        <v>MP</v>
      </c>
      <c r="AD16" t="str">
        <f>"96952"</f>
        <v>96952</v>
      </c>
      <c r="AE16" t="str">
        <f t="shared" si="6"/>
        <v>UNITED STATES OF AMERICA</v>
      </c>
      <c r="AF16" t="str">
        <f>""</f>
        <v/>
      </c>
      <c r="AG16" s="4" t="str">
        <f>"16704335682"</f>
        <v>16704335682</v>
      </c>
      <c r="AH16" t="str">
        <f>""</f>
        <v/>
      </c>
      <c r="AI16" t="str">
        <f>"722511"</f>
        <v>722511</v>
      </c>
      <c r="AJ16" t="s">
        <v>79</v>
      </c>
      <c r="AK16" t="s">
        <v>79</v>
      </c>
      <c r="AL16" t="s">
        <v>80</v>
      </c>
      <c r="AM16" t="s">
        <v>79</v>
      </c>
      <c r="AP16" t="str">
        <f>"WAITERS/WAITRESSES"</f>
        <v>WAITERS/WAITRESSES</v>
      </c>
      <c r="AQ16" t="str">
        <f>"35-3031.00"</f>
        <v>35-3031.00</v>
      </c>
      <c r="AR16" t="str">
        <f>"Waiters and Waitresses"</f>
        <v>Waiters and Waitresses</v>
      </c>
      <c r="AS16" t="str">
        <f>"RESTAURANT MANAGER"</f>
        <v>RESTAURANT MANAGER</v>
      </c>
      <c r="AT16" t="s">
        <v>79</v>
      </c>
      <c r="AU16" t="str">
        <f>""</f>
        <v/>
      </c>
      <c r="AV16" t="str">
        <f>""</f>
        <v/>
      </c>
      <c r="AW16" t="s">
        <v>79</v>
      </c>
      <c r="AX16" t="str">
        <f>""</f>
        <v/>
      </c>
      <c r="AY16" t="s">
        <v>81</v>
      </c>
      <c r="BA16" t="s">
        <v>80</v>
      </c>
      <c r="BB16" t="s">
        <v>79</v>
      </c>
      <c r="BD16" t="s">
        <v>79</v>
      </c>
      <c r="BG16" t="s">
        <v>79</v>
      </c>
      <c r="BJ16" t="s">
        <v>115</v>
      </c>
      <c r="BK16" t="str">
        <f>"LOT 003T57"</f>
        <v>LOT 003T57</v>
      </c>
      <c r="BL16" t="str">
        <f>""</f>
        <v/>
      </c>
      <c r="BM16" t="str">
        <f>"TINIAN"</f>
        <v>TINIAN</v>
      </c>
      <c r="BO16" t="s">
        <v>83</v>
      </c>
      <c r="BP16" s="4" t="str">
        <f>"96952"</f>
        <v>96952</v>
      </c>
      <c r="BQ16" t="s">
        <v>79</v>
      </c>
      <c r="BR16" t="str">
        <f>"35-3031.00"</f>
        <v>35-3031.00</v>
      </c>
      <c r="BS16" t="s">
        <v>761</v>
      </c>
      <c r="BT16" s="3">
        <v>8.17</v>
      </c>
      <c r="BU16" t="s">
        <v>80</v>
      </c>
      <c r="BV16" t="s">
        <v>90</v>
      </c>
      <c r="BW16" t="s">
        <v>92</v>
      </c>
      <c r="BZ16" s="1">
        <v>45107</v>
      </c>
    </row>
    <row r="17" spans="1:78" ht="15" customHeight="1" x14ac:dyDescent="0.25">
      <c r="A17" t="s">
        <v>1699</v>
      </c>
      <c r="B17" t="s">
        <v>94</v>
      </c>
      <c r="C17" s="1">
        <v>44882</v>
      </c>
      <c r="D17" s="1">
        <v>44922</v>
      </c>
      <c r="H17" t="s">
        <v>78</v>
      </c>
      <c r="I17" t="str">
        <f>"GUILLO"</f>
        <v>GUILLO</v>
      </c>
      <c r="J17" t="str">
        <f>"EDEN"</f>
        <v>EDEN</v>
      </c>
      <c r="K17" t="str">
        <f>"FALLAR"</f>
        <v>FALLAR</v>
      </c>
      <c r="L17" t="str">
        <f>"GENERAL MANAGER"</f>
        <v>GENERAL MANAGER</v>
      </c>
      <c r="M17" t="str">
        <f>"PMB 955 PO BOX 10000"</f>
        <v>PMB 955 PO BOX 10000</v>
      </c>
      <c r="N17" t="str">
        <f>"ROOM 104 MARIANAS BUSINESS PLAZA NAURU LOOP SUSUPE"</f>
        <v>ROOM 104 MARIANAS BUSINESS PLAZA NAURU LOOP SUSUPE</v>
      </c>
      <c r="O17" t="str">
        <f t="shared" ref="O17:O24" si="10">"SAIPAN"</f>
        <v>SAIPAN</v>
      </c>
      <c r="P17" t="str">
        <f t="shared" ref="P17:P48" si="11">"MP"</f>
        <v>MP</v>
      </c>
      <c r="Q17" s="4" t="str">
        <f t="shared" ref="Q17:Q45" si="12">"96950"</f>
        <v>96950</v>
      </c>
      <c r="R17" t="str">
        <f t="shared" si="3"/>
        <v>UNITED STATES OF AMERICA</v>
      </c>
      <c r="S17" t="str">
        <f>""</f>
        <v/>
      </c>
      <c r="T17" s="5" t="str">
        <f>"16702352883"</f>
        <v>16702352883</v>
      </c>
      <c r="U17" t="str">
        <f>"0"</f>
        <v>0</v>
      </c>
      <c r="V17" s="5" t="str">
        <f>""</f>
        <v/>
      </c>
      <c r="W17" t="str">
        <f>"efg.pacific.holdings@gmail.com"</f>
        <v>efg.pacific.holdings@gmail.com</v>
      </c>
      <c r="X17" t="str">
        <f>"EFG PACIFIC HOLDINGS, LLC"</f>
        <v>EFG PACIFIC HOLDINGS, LLC</v>
      </c>
      <c r="Y17" t="str">
        <f>"ISLAND BEST CHOICE"</f>
        <v>ISLAND BEST CHOICE</v>
      </c>
      <c r="Z17" t="str">
        <f>"PMB 955 BOX 10000"</f>
        <v>PMB 955 BOX 10000</v>
      </c>
      <c r="AA17" t="str">
        <f>"ROOM 104 MARIANAS BUSINESS PLAZA NAURU LOOP SUSUPE"</f>
        <v>ROOM 104 MARIANAS BUSINESS PLAZA NAURU LOOP SUSUPE</v>
      </c>
      <c r="AB17" t="str">
        <f t="shared" ref="AB17:AB24" si="13">"SAIPAN"</f>
        <v>SAIPAN</v>
      </c>
      <c r="AC17" t="str">
        <f t="shared" si="4"/>
        <v>MP</v>
      </c>
      <c r="AD17" t="str">
        <f t="shared" ref="AD17:AD45" si="14">"96950"</f>
        <v>96950</v>
      </c>
      <c r="AE17" t="str">
        <f t="shared" si="6"/>
        <v>UNITED STATES OF AMERICA</v>
      </c>
      <c r="AF17" t="str">
        <f>""</f>
        <v/>
      </c>
      <c r="AG17" s="4" t="str">
        <f>"16702352883"</f>
        <v>16702352883</v>
      </c>
      <c r="AH17" t="str">
        <f>"0"</f>
        <v>0</v>
      </c>
      <c r="AI17" t="str">
        <f>"56132"</f>
        <v>56132</v>
      </c>
      <c r="AJ17" t="s">
        <v>79</v>
      </c>
      <c r="AK17" t="s">
        <v>79</v>
      </c>
      <c r="AL17" t="s">
        <v>80</v>
      </c>
      <c r="AM17" t="s">
        <v>79</v>
      </c>
      <c r="AP17" t="str">
        <f>"COOKS, RESTAURANT"</f>
        <v>COOKS, RESTAURANT</v>
      </c>
      <c r="AQ17" t="str">
        <f>"35-2014.00"</f>
        <v>35-2014.00</v>
      </c>
      <c r="AR17" t="str">
        <f>"Cooks, Restaurant"</f>
        <v>Cooks, Restaurant</v>
      </c>
      <c r="AS17" t="str">
        <f>"N/A"</f>
        <v>N/A</v>
      </c>
      <c r="AT17" t="s">
        <v>79</v>
      </c>
      <c r="AU17" t="str">
        <f>""</f>
        <v/>
      </c>
      <c r="AV17" t="str">
        <f>""</f>
        <v/>
      </c>
      <c r="AW17" t="s">
        <v>79</v>
      </c>
      <c r="AX17" t="str">
        <f>""</f>
        <v/>
      </c>
      <c r="AY17" t="s">
        <v>84</v>
      </c>
      <c r="BA17" t="s">
        <v>80</v>
      </c>
      <c r="BB17" t="s">
        <v>79</v>
      </c>
      <c r="BD17" t="s">
        <v>82</v>
      </c>
      <c r="BE17">
        <v>6</v>
      </c>
      <c r="BF17" t="s">
        <v>1643</v>
      </c>
      <c r="BG17" t="s">
        <v>82</v>
      </c>
      <c r="BH17">
        <v>6</v>
      </c>
      <c r="BI17" t="s">
        <v>285</v>
      </c>
      <c r="BJ17" t="s">
        <v>1700</v>
      </c>
      <c r="BK17" t="str">
        <f>"PMB 955 PO BOX 10000"</f>
        <v>PMB 955 PO BOX 10000</v>
      </c>
      <c r="BL17" t="str">
        <f>"ROOM 104 MARIANAS BUSINESS PLAZA NAURU LOOP SUSUPE"</f>
        <v>ROOM 104 MARIANAS BUSINESS PLAZA NAURU LOOP SUSUPE</v>
      </c>
      <c r="BM17" t="str">
        <f t="shared" ref="BM17:BM23" si="15">"SAIPAN"</f>
        <v>SAIPAN</v>
      </c>
      <c r="BO17" t="s">
        <v>83</v>
      </c>
      <c r="BP17" s="4" t="str">
        <f t="shared" ref="BP17:BP45" si="16">"96950"</f>
        <v>96950</v>
      </c>
      <c r="BQ17" t="s">
        <v>79</v>
      </c>
      <c r="BR17" t="str">
        <f>"35-2014.00"</f>
        <v>35-2014.00</v>
      </c>
      <c r="BS17" t="s">
        <v>117</v>
      </c>
      <c r="BT17" s="3">
        <v>8.5500000000000007</v>
      </c>
      <c r="BU17" t="s">
        <v>80</v>
      </c>
      <c r="BV17" t="s">
        <v>90</v>
      </c>
      <c r="BW17" t="s">
        <v>92</v>
      </c>
      <c r="BZ17" s="1">
        <v>45107</v>
      </c>
    </row>
    <row r="18" spans="1:78" ht="15" customHeight="1" x14ac:dyDescent="0.25">
      <c r="A18" t="s">
        <v>1661</v>
      </c>
      <c r="B18" t="s">
        <v>94</v>
      </c>
      <c r="C18" s="1">
        <v>44881</v>
      </c>
      <c r="D18" s="1">
        <v>44922</v>
      </c>
      <c r="H18" t="s">
        <v>78</v>
      </c>
      <c r="I18" t="str">
        <f>"DE LOS REYES"</f>
        <v>DE LOS REYES</v>
      </c>
      <c r="J18" t="str">
        <f>"JOO YOON"</f>
        <v>JOO YOON</v>
      </c>
      <c r="K18" t="str">
        <f>"N/A"</f>
        <v>N/A</v>
      </c>
      <c r="L18" t="str">
        <f>"PRESIDENT"</f>
        <v>PRESIDENT</v>
      </c>
      <c r="M18" t="str">
        <f>"P.O. BOX 502672, AS LITO ROAD"</f>
        <v>P.O. BOX 502672, AS LITO ROAD</v>
      </c>
      <c r="N18" t="str">
        <f>"AS LITO"</f>
        <v>AS LITO</v>
      </c>
      <c r="O18" t="str">
        <f t="shared" si="10"/>
        <v>SAIPAN</v>
      </c>
      <c r="P18" t="str">
        <f t="shared" si="11"/>
        <v>MP</v>
      </c>
      <c r="Q18" s="4" t="str">
        <f t="shared" si="12"/>
        <v>96950</v>
      </c>
      <c r="R18" t="str">
        <f t="shared" si="3"/>
        <v>UNITED STATES OF AMERICA</v>
      </c>
      <c r="S18" t="str">
        <f t="shared" ref="S18:S23" si="17">"MP"</f>
        <v>MP</v>
      </c>
      <c r="T18" s="5" t="str">
        <f>"16702877617"</f>
        <v>16702877617</v>
      </c>
      <c r="U18" t="str">
        <f>""</f>
        <v/>
      </c>
      <c r="V18" s="5" t="str">
        <f>""</f>
        <v/>
      </c>
      <c r="W18" t="str">
        <f>"abidenondenominational@gmail.com"</f>
        <v>abidenondenominational@gmail.com</v>
      </c>
      <c r="X18" t="str">
        <f>"THE ABIDE-NON DENOMINATIONAL CHURCH OF SAIPAN"</f>
        <v>THE ABIDE-NON DENOMINATIONAL CHURCH OF SAIPAN</v>
      </c>
      <c r="Y18" t="str">
        <f>"CHURCH"</f>
        <v>CHURCH</v>
      </c>
      <c r="Z18" t="str">
        <f>"P.O BOX 502672, AS LITO ROAD"</f>
        <v>P.O BOX 502672, AS LITO ROAD</v>
      </c>
      <c r="AA18" t="str">
        <f>"AS LITO"</f>
        <v>AS LITO</v>
      </c>
      <c r="AB18" t="str">
        <f t="shared" si="13"/>
        <v>SAIPAN</v>
      </c>
      <c r="AC18" t="str">
        <f t="shared" si="4"/>
        <v>MP</v>
      </c>
      <c r="AD18" t="str">
        <f t="shared" si="14"/>
        <v>96950</v>
      </c>
      <c r="AE18" t="str">
        <f t="shared" si="6"/>
        <v>UNITED STATES OF AMERICA</v>
      </c>
      <c r="AF18" t="str">
        <f t="shared" ref="AF18:AF23" si="18">"MP"</f>
        <v>MP</v>
      </c>
      <c r="AG18" s="4" t="str">
        <f>"16702877617"</f>
        <v>16702877617</v>
      </c>
      <c r="AH18" t="str">
        <f>""</f>
        <v/>
      </c>
      <c r="AI18" t="str">
        <f>"81311"</f>
        <v>81311</v>
      </c>
      <c r="AJ18" t="s">
        <v>79</v>
      </c>
      <c r="AK18" t="s">
        <v>79</v>
      </c>
      <c r="AL18" t="s">
        <v>80</v>
      </c>
      <c r="AM18" t="s">
        <v>79</v>
      </c>
      <c r="AP18" t="str">
        <f>"PASTOR"</f>
        <v>PASTOR</v>
      </c>
      <c r="AQ18" t="str">
        <f>"21-2011.00"</f>
        <v>21-2011.00</v>
      </c>
      <c r="AR18" t="str">
        <f>"Clergy"</f>
        <v>Clergy</v>
      </c>
      <c r="AS18" t="str">
        <f>"PRESIDENT"</f>
        <v>PRESIDENT</v>
      </c>
      <c r="AT18" t="s">
        <v>79</v>
      </c>
      <c r="AU18" t="str">
        <f>""</f>
        <v/>
      </c>
      <c r="AV18" t="str">
        <f>""</f>
        <v/>
      </c>
      <c r="AW18" t="s">
        <v>79</v>
      </c>
      <c r="AX18" t="str">
        <f>""</f>
        <v/>
      </c>
      <c r="AY18" t="s">
        <v>84</v>
      </c>
      <c r="BA18" t="s">
        <v>80</v>
      </c>
      <c r="BB18" t="s">
        <v>79</v>
      </c>
      <c r="BD18" t="s">
        <v>79</v>
      </c>
      <c r="BG18" t="s">
        <v>82</v>
      </c>
      <c r="BH18">
        <v>12</v>
      </c>
      <c r="BI18" t="s">
        <v>1662</v>
      </c>
      <c r="BJ18" t="s">
        <v>1663</v>
      </c>
      <c r="BK18" t="str">
        <f>"AS LITO ROAD"</f>
        <v>AS LITO ROAD</v>
      </c>
      <c r="BL18" t="str">
        <f>"AS LITO"</f>
        <v>AS LITO</v>
      </c>
      <c r="BM18" t="str">
        <f t="shared" si="15"/>
        <v>SAIPAN</v>
      </c>
      <c r="BO18" t="s">
        <v>83</v>
      </c>
      <c r="BP18" s="4" t="str">
        <f t="shared" si="16"/>
        <v>96950</v>
      </c>
      <c r="BQ18" t="s">
        <v>79</v>
      </c>
      <c r="BR18" t="str">
        <f>"21-2011.00"</f>
        <v>21-2011.00</v>
      </c>
      <c r="BS18" t="s">
        <v>1664</v>
      </c>
      <c r="BT18" s="3">
        <v>18.71</v>
      </c>
      <c r="BU18" t="s">
        <v>80</v>
      </c>
      <c r="BV18" t="s">
        <v>90</v>
      </c>
      <c r="BW18" t="s">
        <v>265</v>
      </c>
      <c r="BZ18" s="1">
        <v>45107</v>
      </c>
    </row>
    <row r="19" spans="1:78" ht="15" customHeight="1" x14ac:dyDescent="0.25">
      <c r="A19" t="s">
        <v>1665</v>
      </c>
      <c r="B19" t="s">
        <v>94</v>
      </c>
      <c r="C19" s="1">
        <v>44881</v>
      </c>
      <c r="D19" s="1">
        <v>44922</v>
      </c>
      <c r="H19" t="s">
        <v>78</v>
      </c>
      <c r="I19" t="str">
        <f>"NUGENT"</f>
        <v>NUGENT</v>
      </c>
      <c r="J19" t="str">
        <f>"MONIKA"</f>
        <v>MONIKA</v>
      </c>
      <c r="K19" t="str">
        <f>"N/A"</f>
        <v>N/A</v>
      </c>
      <c r="L19" t="str">
        <f>"MANAGER"</f>
        <v>MANAGER</v>
      </c>
      <c r="M19" t="str">
        <f>"P.O. BOX 502331, AMPARO BUILDING, BEACH ROAD"</f>
        <v>P.O. BOX 502331, AMPARO BUILDING, BEACH ROAD</v>
      </c>
      <c r="N19" t="str">
        <f>"CHALAN LAULAU"</f>
        <v>CHALAN LAULAU</v>
      </c>
      <c r="O19" t="str">
        <f t="shared" si="10"/>
        <v>SAIPAN</v>
      </c>
      <c r="P19" t="str">
        <f t="shared" si="11"/>
        <v>MP</v>
      </c>
      <c r="Q19" s="4" t="str">
        <f t="shared" si="12"/>
        <v>96950</v>
      </c>
      <c r="R19" t="str">
        <f t="shared" si="3"/>
        <v>UNITED STATES OF AMERICA</v>
      </c>
      <c r="S19" t="str">
        <f t="shared" si="17"/>
        <v>MP</v>
      </c>
      <c r="T19" s="5" t="str">
        <f>"16702334402"</f>
        <v>16702334402</v>
      </c>
      <c r="U19" t="str">
        <f>""</f>
        <v/>
      </c>
      <c r="V19" s="5" t="str">
        <f>""</f>
        <v/>
      </c>
      <c r="W19" t="str">
        <f>"monikanugent670@gmail.com"</f>
        <v>monikanugent670@gmail.com</v>
      </c>
      <c r="X19" t="str">
        <f>"MONIKA'S FURNITURE,LLC"</f>
        <v>MONIKA'S FURNITURE,LLC</v>
      </c>
      <c r="Y19" t="str">
        <f>"FURNITURE"</f>
        <v>FURNITURE</v>
      </c>
      <c r="Z19" t="str">
        <f>"P.O. BOX 502331, AMPARO BUILDING, BEACH ROAD"</f>
        <v>P.O. BOX 502331, AMPARO BUILDING, BEACH ROAD</v>
      </c>
      <c r="AA19" t="str">
        <f>"CHALAN LAULAU"</f>
        <v>CHALAN LAULAU</v>
      </c>
      <c r="AB19" t="str">
        <f t="shared" si="13"/>
        <v>SAIPAN</v>
      </c>
      <c r="AC19" t="str">
        <f t="shared" si="4"/>
        <v>MP</v>
      </c>
      <c r="AD19" t="str">
        <f t="shared" si="14"/>
        <v>96950</v>
      </c>
      <c r="AE19" t="str">
        <f t="shared" si="6"/>
        <v>UNITED STATES OF AMERICA</v>
      </c>
      <c r="AF19" t="str">
        <f t="shared" si="18"/>
        <v>MP</v>
      </c>
      <c r="AG19" s="4" t="str">
        <f>"16702334402"</f>
        <v>16702334402</v>
      </c>
      <c r="AH19" t="str">
        <f>""</f>
        <v/>
      </c>
      <c r="AI19" t="str">
        <f>"442110"</f>
        <v>442110</v>
      </c>
      <c r="AJ19" t="s">
        <v>79</v>
      </c>
      <c r="AK19" t="s">
        <v>79</v>
      </c>
      <c r="AL19" t="s">
        <v>80</v>
      </c>
      <c r="AM19" t="s">
        <v>79</v>
      </c>
      <c r="AP19" t="str">
        <f>"UPHOLSTERER"</f>
        <v>UPHOLSTERER</v>
      </c>
      <c r="AQ19" t="str">
        <f>"51-6093.00"</f>
        <v>51-6093.00</v>
      </c>
      <c r="AR19" t="str">
        <f>"Upholsterers"</f>
        <v>Upholsterers</v>
      </c>
      <c r="AS19" t="str">
        <f>"MANAGER"</f>
        <v>MANAGER</v>
      </c>
      <c r="AT19" t="s">
        <v>79</v>
      </c>
      <c r="AU19" t="str">
        <f>""</f>
        <v/>
      </c>
      <c r="AV19" t="str">
        <f>""</f>
        <v/>
      </c>
      <c r="AW19" t="s">
        <v>79</v>
      </c>
      <c r="AX19" t="str">
        <f>""</f>
        <v/>
      </c>
      <c r="AY19" t="s">
        <v>84</v>
      </c>
      <c r="BA19" t="s">
        <v>80</v>
      </c>
      <c r="BB19" t="s">
        <v>79</v>
      </c>
      <c r="BD19" t="s">
        <v>79</v>
      </c>
      <c r="BG19" t="s">
        <v>82</v>
      </c>
      <c r="BH19">
        <v>12</v>
      </c>
      <c r="BI19" t="s">
        <v>1469</v>
      </c>
      <c r="BJ19" t="s">
        <v>1666</v>
      </c>
      <c r="BK19" t="str">
        <f>"AMPARO BUILDING, BEACH ROAD"</f>
        <v>AMPARO BUILDING, BEACH ROAD</v>
      </c>
      <c r="BL19" t="str">
        <f>"CHALAN LAULAU"</f>
        <v>CHALAN LAULAU</v>
      </c>
      <c r="BM19" t="str">
        <f t="shared" si="15"/>
        <v>SAIPAN</v>
      </c>
      <c r="BO19" t="s">
        <v>83</v>
      </c>
      <c r="BP19" s="4" t="str">
        <f t="shared" si="16"/>
        <v>96950</v>
      </c>
      <c r="BQ19" t="s">
        <v>79</v>
      </c>
      <c r="BR19" t="str">
        <f>"51-6093.00"</f>
        <v>51-6093.00</v>
      </c>
      <c r="BS19" t="s">
        <v>1471</v>
      </c>
      <c r="BT19" s="3">
        <v>8.0299999999999994</v>
      </c>
      <c r="BU19" t="s">
        <v>80</v>
      </c>
      <c r="BV19" t="s">
        <v>90</v>
      </c>
      <c r="BW19" t="s">
        <v>92</v>
      </c>
      <c r="BZ19" s="1">
        <v>45107</v>
      </c>
    </row>
    <row r="20" spans="1:78" ht="15" customHeight="1" x14ac:dyDescent="0.25">
      <c r="A20" t="s">
        <v>1667</v>
      </c>
      <c r="B20" t="s">
        <v>94</v>
      </c>
      <c r="C20" s="1">
        <v>44881</v>
      </c>
      <c r="D20" s="1">
        <v>44922</v>
      </c>
      <c r="H20" t="s">
        <v>78</v>
      </c>
      <c r="I20" t="str">
        <f>"MALLARI"</f>
        <v>MALLARI</v>
      </c>
      <c r="J20" t="str">
        <f>"JOVEN"</f>
        <v>JOVEN</v>
      </c>
      <c r="K20" t="str">
        <f>"ALVIZ"</f>
        <v>ALVIZ</v>
      </c>
      <c r="L20" t="str">
        <f>"PRESIDENT"</f>
        <v>PRESIDENT</v>
      </c>
      <c r="M20" t="str">
        <f>"P.O. BOX 7121 SVRB, AS LITO ROAD"</f>
        <v>P.O. BOX 7121 SVRB, AS LITO ROAD</v>
      </c>
      <c r="N20" t="str">
        <f>"AS LITO"</f>
        <v>AS LITO</v>
      </c>
      <c r="O20" t="str">
        <f t="shared" si="10"/>
        <v>SAIPAN</v>
      </c>
      <c r="P20" t="str">
        <f t="shared" si="11"/>
        <v>MP</v>
      </c>
      <c r="Q20" s="4" t="str">
        <f t="shared" si="12"/>
        <v>96950</v>
      </c>
      <c r="R20" t="str">
        <f t="shared" si="3"/>
        <v>UNITED STATES OF AMERICA</v>
      </c>
      <c r="S20" t="str">
        <f t="shared" si="17"/>
        <v>MP</v>
      </c>
      <c r="T20" s="5" t="str">
        <f>"16707890119"</f>
        <v>16707890119</v>
      </c>
      <c r="U20" t="str">
        <f>""</f>
        <v/>
      </c>
      <c r="V20" s="5" t="str">
        <f>""</f>
        <v/>
      </c>
      <c r="W20" t="str">
        <f>"fidelityinternationalcorp@yahoo.com"</f>
        <v>fidelityinternationalcorp@yahoo.com</v>
      </c>
      <c r="X20" t="str">
        <f>"FIDELITY INTERNATIONAL CORPORATION"</f>
        <v>FIDELITY INTERNATIONAL CORPORATION</v>
      </c>
      <c r="Y20" t="str">
        <f>"GENERAL CONSTRUCTION CONTRACTOR"</f>
        <v>GENERAL CONSTRUCTION CONTRACTOR</v>
      </c>
      <c r="Z20" t="str">
        <f>"P.O. BOX 7121 SVRB, AS LITO ROAD"</f>
        <v>P.O. BOX 7121 SVRB, AS LITO ROAD</v>
      </c>
      <c r="AA20" t="str">
        <f>"AS LITO"</f>
        <v>AS LITO</v>
      </c>
      <c r="AB20" t="str">
        <f t="shared" si="13"/>
        <v>SAIPAN</v>
      </c>
      <c r="AC20" t="str">
        <f t="shared" si="4"/>
        <v>MP</v>
      </c>
      <c r="AD20" t="str">
        <f t="shared" si="14"/>
        <v>96950</v>
      </c>
      <c r="AE20" t="str">
        <f t="shared" si="6"/>
        <v>UNITED STATES OF AMERICA</v>
      </c>
      <c r="AF20" t="str">
        <f t="shared" si="18"/>
        <v>MP</v>
      </c>
      <c r="AG20" s="4" t="str">
        <f>"16707890119"</f>
        <v>16707890119</v>
      </c>
      <c r="AH20" t="str">
        <f>""</f>
        <v/>
      </c>
      <c r="AI20" t="str">
        <f>"8112"</f>
        <v>8112</v>
      </c>
      <c r="AJ20" t="s">
        <v>79</v>
      </c>
      <c r="AK20" t="s">
        <v>79</v>
      </c>
      <c r="AL20" t="s">
        <v>80</v>
      </c>
      <c r="AM20" t="s">
        <v>79</v>
      </c>
      <c r="AP20" t="str">
        <f>"MAINTENANCE AND REPAIR WORKER"</f>
        <v>MAINTENANCE AND REPAIR WORKER</v>
      </c>
      <c r="AQ20" t="str">
        <f>"49-9071.00"</f>
        <v>49-9071.00</v>
      </c>
      <c r="AR20" t="str">
        <f>"Maintenance and Repair Workers, General"</f>
        <v>Maintenance and Repair Workers, General</v>
      </c>
      <c r="AS20" t="str">
        <f>"MANAGER"</f>
        <v>MANAGER</v>
      </c>
      <c r="AT20" t="s">
        <v>79</v>
      </c>
      <c r="AU20" t="str">
        <f>""</f>
        <v/>
      </c>
      <c r="AV20" t="str">
        <f>""</f>
        <v/>
      </c>
      <c r="AW20" t="s">
        <v>79</v>
      </c>
      <c r="AX20" t="str">
        <f>""</f>
        <v/>
      </c>
      <c r="AY20" t="s">
        <v>84</v>
      </c>
      <c r="BA20" t="s">
        <v>80</v>
      </c>
      <c r="BB20" t="s">
        <v>79</v>
      </c>
      <c r="BD20" t="s">
        <v>79</v>
      </c>
      <c r="BG20" t="s">
        <v>82</v>
      </c>
      <c r="BH20">
        <v>12</v>
      </c>
      <c r="BI20" t="s">
        <v>1221</v>
      </c>
      <c r="BJ20" t="s">
        <v>1668</v>
      </c>
      <c r="BK20" t="str">
        <f>"AS LITO ROAD"</f>
        <v>AS LITO ROAD</v>
      </c>
      <c r="BL20" t="str">
        <f>"AS LITO"</f>
        <v>AS LITO</v>
      </c>
      <c r="BM20" t="str">
        <f t="shared" si="15"/>
        <v>SAIPAN</v>
      </c>
      <c r="BO20" t="s">
        <v>83</v>
      </c>
      <c r="BP20" s="4" t="str">
        <f t="shared" si="16"/>
        <v>96950</v>
      </c>
      <c r="BQ20" t="s">
        <v>79</v>
      </c>
      <c r="BR20" t="str">
        <f>"49-9071.00"</f>
        <v>49-9071.00</v>
      </c>
      <c r="BS20" t="s">
        <v>146</v>
      </c>
      <c r="BT20" s="3">
        <v>9.19</v>
      </c>
      <c r="BU20" t="s">
        <v>80</v>
      </c>
      <c r="BV20" t="s">
        <v>90</v>
      </c>
      <c r="BW20" t="s">
        <v>92</v>
      </c>
      <c r="BZ20" s="1">
        <v>45107</v>
      </c>
    </row>
    <row r="21" spans="1:78" ht="15" customHeight="1" x14ac:dyDescent="0.25">
      <c r="A21" t="s">
        <v>1669</v>
      </c>
      <c r="B21" t="s">
        <v>94</v>
      </c>
      <c r="C21" s="1">
        <v>44881</v>
      </c>
      <c r="D21" s="1">
        <v>44922</v>
      </c>
      <c r="H21" t="s">
        <v>78</v>
      </c>
      <c r="I21" t="str">
        <f>"MALLARI"</f>
        <v>MALLARI</v>
      </c>
      <c r="J21" t="str">
        <f>"JOVEN"</f>
        <v>JOVEN</v>
      </c>
      <c r="K21" t="str">
        <f>"ALVIZ"</f>
        <v>ALVIZ</v>
      </c>
      <c r="L21" t="str">
        <f>"PRESIDENT"</f>
        <v>PRESIDENT</v>
      </c>
      <c r="M21" t="str">
        <f>"P.O. BOX 7121 SVRB, AS LITO ROAD"</f>
        <v>P.O. BOX 7121 SVRB, AS LITO ROAD</v>
      </c>
      <c r="N21" t="str">
        <f>"AS LITO"</f>
        <v>AS LITO</v>
      </c>
      <c r="O21" t="str">
        <f t="shared" si="10"/>
        <v>SAIPAN</v>
      </c>
      <c r="P21" t="str">
        <f t="shared" si="11"/>
        <v>MP</v>
      </c>
      <c r="Q21" s="4" t="str">
        <f t="shared" si="12"/>
        <v>96950</v>
      </c>
      <c r="R21" t="str">
        <f t="shared" si="3"/>
        <v>UNITED STATES OF AMERICA</v>
      </c>
      <c r="S21" t="str">
        <f t="shared" si="17"/>
        <v>MP</v>
      </c>
      <c r="T21" s="5" t="str">
        <f>"16707890119"</f>
        <v>16707890119</v>
      </c>
      <c r="U21" t="str">
        <f>""</f>
        <v/>
      </c>
      <c r="V21" s="5" t="str">
        <f>""</f>
        <v/>
      </c>
      <c r="W21" t="str">
        <f>"fidelityinternationalcorp@yahoo.com"</f>
        <v>fidelityinternationalcorp@yahoo.com</v>
      </c>
      <c r="X21" t="str">
        <f>"FIDELITY INTERNATIONAL CORPORATION"</f>
        <v>FIDELITY INTERNATIONAL CORPORATION</v>
      </c>
      <c r="Y21" t="str">
        <f>"GENERAL CONSTRUCTION CONTRACTOR"</f>
        <v>GENERAL CONSTRUCTION CONTRACTOR</v>
      </c>
      <c r="Z21" t="str">
        <f>"P.O. BOX 7121 SVRB, AS LITO ROAD"</f>
        <v>P.O. BOX 7121 SVRB, AS LITO ROAD</v>
      </c>
      <c r="AA21" t="str">
        <f>"AS LITO"</f>
        <v>AS LITO</v>
      </c>
      <c r="AB21" t="str">
        <f t="shared" si="13"/>
        <v>SAIPAN</v>
      </c>
      <c r="AC21" t="str">
        <f t="shared" si="4"/>
        <v>MP</v>
      </c>
      <c r="AD21" t="str">
        <f t="shared" si="14"/>
        <v>96950</v>
      </c>
      <c r="AE21" t="str">
        <f t="shared" si="6"/>
        <v>UNITED STATES OF AMERICA</v>
      </c>
      <c r="AF21" t="str">
        <f t="shared" si="18"/>
        <v>MP</v>
      </c>
      <c r="AG21" s="4" t="str">
        <f>"16707890119"</f>
        <v>16707890119</v>
      </c>
      <c r="AH21" t="str">
        <f>""</f>
        <v/>
      </c>
      <c r="AI21" t="str">
        <f>"236116"</f>
        <v>236116</v>
      </c>
      <c r="AJ21" t="s">
        <v>79</v>
      </c>
      <c r="AK21" t="s">
        <v>79</v>
      </c>
      <c r="AL21" t="s">
        <v>80</v>
      </c>
      <c r="AM21" t="s">
        <v>79</v>
      </c>
      <c r="AP21" t="str">
        <f>"CABINET MAKERS AND BENCH CARPENTERS"</f>
        <v>CABINET MAKERS AND BENCH CARPENTERS</v>
      </c>
      <c r="AQ21" t="str">
        <f>"51-7011.00"</f>
        <v>51-7011.00</v>
      </c>
      <c r="AR21" t="str">
        <f>"Cabinetmakers and Bench Carpenters"</f>
        <v>Cabinetmakers and Bench Carpenters</v>
      </c>
      <c r="AS21" t="str">
        <f>"MANAGER"</f>
        <v>MANAGER</v>
      </c>
      <c r="AT21" t="s">
        <v>79</v>
      </c>
      <c r="AU21" t="str">
        <f>""</f>
        <v/>
      </c>
      <c r="AV21" t="str">
        <f>""</f>
        <v/>
      </c>
      <c r="AW21" t="s">
        <v>79</v>
      </c>
      <c r="AX21" t="str">
        <f>""</f>
        <v/>
      </c>
      <c r="AY21" t="s">
        <v>84</v>
      </c>
      <c r="BA21" t="s">
        <v>80</v>
      </c>
      <c r="BB21" t="s">
        <v>79</v>
      </c>
      <c r="BD21" t="s">
        <v>79</v>
      </c>
      <c r="BG21" t="s">
        <v>82</v>
      </c>
      <c r="BH21">
        <v>12</v>
      </c>
      <c r="BI21" t="s">
        <v>1670</v>
      </c>
      <c r="BJ21" t="s">
        <v>1671</v>
      </c>
      <c r="BK21" t="str">
        <f>"AS LITO ROAD"</f>
        <v>AS LITO ROAD</v>
      </c>
      <c r="BL21" t="str">
        <f>"AS LITO"</f>
        <v>AS LITO</v>
      </c>
      <c r="BM21" t="str">
        <f t="shared" si="15"/>
        <v>SAIPAN</v>
      </c>
      <c r="BO21" t="s">
        <v>83</v>
      </c>
      <c r="BP21" s="4" t="str">
        <f t="shared" si="16"/>
        <v>96950</v>
      </c>
      <c r="BQ21" t="s">
        <v>79</v>
      </c>
      <c r="BR21" t="str">
        <f>"51-7011.00"</f>
        <v>51-7011.00</v>
      </c>
      <c r="BS21" t="s">
        <v>1672</v>
      </c>
      <c r="BT21" s="3">
        <v>13.1</v>
      </c>
      <c r="BU21" t="s">
        <v>80</v>
      </c>
      <c r="BV21" t="s">
        <v>90</v>
      </c>
      <c r="BW21" t="s">
        <v>265</v>
      </c>
      <c r="BZ21" s="1">
        <v>45107</v>
      </c>
    </row>
    <row r="22" spans="1:78" ht="15" customHeight="1" x14ac:dyDescent="0.25">
      <c r="A22" t="s">
        <v>1673</v>
      </c>
      <c r="B22" t="s">
        <v>94</v>
      </c>
      <c r="C22" s="1">
        <v>44881</v>
      </c>
      <c r="D22" s="1">
        <v>44922</v>
      </c>
      <c r="H22" t="s">
        <v>78</v>
      </c>
      <c r="I22" t="str">
        <f>"MALLARI"</f>
        <v>MALLARI</v>
      </c>
      <c r="J22" t="str">
        <f>"JOVEN"</f>
        <v>JOVEN</v>
      </c>
      <c r="K22" t="str">
        <f>"ALVIZ"</f>
        <v>ALVIZ</v>
      </c>
      <c r="L22" t="str">
        <f>"PRESIDENT"</f>
        <v>PRESIDENT</v>
      </c>
      <c r="M22" t="str">
        <f>"P.O. BOX 7121 SVRB, AS LITO ROAD"</f>
        <v>P.O. BOX 7121 SVRB, AS LITO ROAD</v>
      </c>
      <c r="N22" t="str">
        <f>"AS LITO"</f>
        <v>AS LITO</v>
      </c>
      <c r="O22" t="str">
        <f t="shared" si="10"/>
        <v>SAIPAN</v>
      </c>
      <c r="P22" t="str">
        <f t="shared" si="11"/>
        <v>MP</v>
      </c>
      <c r="Q22" s="4" t="str">
        <f t="shared" si="12"/>
        <v>96950</v>
      </c>
      <c r="R22" t="str">
        <f t="shared" si="3"/>
        <v>UNITED STATES OF AMERICA</v>
      </c>
      <c r="S22" t="str">
        <f t="shared" si="17"/>
        <v>MP</v>
      </c>
      <c r="T22" s="5" t="str">
        <f>"16707890119"</f>
        <v>16707890119</v>
      </c>
      <c r="U22" t="str">
        <f>""</f>
        <v/>
      </c>
      <c r="V22" s="5" t="str">
        <f>""</f>
        <v/>
      </c>
      <c r="W22" t="str">
        <f>"fidelityinternationalcorp@yahoo.com"</f>
        <v>fidelityinternationalcorp@yahoo.com</v>
      </c>
      <c r="X22" t="str">
        <f>"FIDELITY INTERNATIONAL CORPORATION"</f>
        <v>FIDELITY INTERNATIONAL CORPORATION</v>
      </c>
      <c r="Y22" t="str">
        <f>"GENERAL CONSTRUCTION CONTRACTOR"</f>
        <v>GENERAL CONSTRUCTION CONTRACTOR</v>
      </c>
      <c r="Z22" t="str">
        <f>"P.O. BOX 7121 SVRB, AS LITO ROAD"</f>
        <v>P.O. BOX 7121 SVRB, AS LITO ROAD</v>
      </c>
      <c r="AA22" t="str">
        <f>"AS LITO"</f>
        <v>AS LITO</v>
      </c>
      <c r="AB22" t="str">
        <f t="shared" si="13"/>
        <v>SAIPAN</v>
      </c>
      <c r="AC22" t="str">
        <f t="shared" si="4"/>
        <v>MP</v>
      </c>
      <c r="AD22" t="str">
        <f t="shared" si="14"/>
        <v>96950</v>
      </c>
      <c r="AE22" t="str">
        <f t="shared" si="6"/>
        <v>UNITED STATES OF AMERICA</v>
      </c>
      <c r="AF22" t="str">
        <f t="shared" si="18"/>
        <v>MP</v>
      </c>
      <c r="AG22" s="4" t="str">
        <f>"16707890119"</f>
        <v>16707890119</v>
      </c>
      <c r="AH22" t="str">
        <f>""</f>
        <v/>
      </c>
      <c r="AI22" t="str">
        <f>"236116"</f>
        <v>236116</v>
      </c>
      <c r="AJ22" t="s">
        <v>79</v>
      </c>
      <c r="AK22" t="s">
        <v>79</v>
      </c>
      <c r="AL22" t="s">
        <v>80</v>
      </c>
      <c r="AM22" t="s">
        <v>79</v>
      </c>
      <c r="AP22" t="str">
        <f>"ACCOUNTANT"</f>
        <v>ACCOUNTANT</v>
      </c>
      <c r="AQ22" t="str">
        <f>"13-2011.00"</f>
        <v>13-2011.00</v>
      </c>
      <c r="AR22" t="str">
        <f>"Accountants and Auditors"</f>
        <v>Accountants and Auditors</v>
      </c>
      <c r="AS22" t="str">
        <f>"MANAGER"</f>
        <v>MANAGER</v>
      </c>
      <c r="AT22" t="s">
        <v>79</v>
      </c>
      <c r="AU22" t="str">
        <f>""</f>
        <v/>
      </c>
      <c r="AV22" t="str">
        <f>""</f>
        <v/>
      </c>
      <c r="AW22" t="s">
        <v>79</v>
      </c>
      <c r="AX22" t="str">
        <f>""</f>
        <v/>
      </c>
      <c r="AY22" t="s">
        <v>84</v>
      </c>
      <c r="BA22" t="s">
        <v>80</v>
      </c>
      <c r="BB22" t="s">
        <v>79</v>
      </c>
      <c r="BD22" t="s">
        <v>79</v>
      </c>
      <c r="BG22" t="s">
        <v>82</v>
      </c>
      <c r="BH22">
        <v>12</v>
      </c>
      <c r="BI22" t="s">
        <v>255</v>
      </c>
      <c r="BJ22" t="s">
        <v>1674</v>
      </c>
      <c r="BK22" t="str">
        <f>"AS LITO ROAD"</f>
        <v>AS LITO ROAD</v>
      </c>
      <c r="BL22" t="str">
        <f>"AS LITO"</f>
        <v>AS LITO</v>
      </c>
      <c r="BM22" t="str">
        <f t="shared" si="15"/>
        <v>SAIPAN</v>
      </c>
      <c r="BO22" t="s">
        <v>83</v>
      </c>
      <c r="BP22" s="4" t="str">
        <f t="shared" si="16"/>
        <v>96950</v>
      </c>
      <c r="BQ22" t="s">
        <v>79</v>
      </c>
      <c r="BR22" t="str">
        <f>"13-2011.00"</f>
        <v>13-2011.00</v>
      </c>
      <c r="BS22" t="s">
        <v>133</v>
      </c>
      <c r="BT22" s="3">
        <v>16.190000000000001</v>
      </c>
      <c r="BU22" t="s">
        <v>80</v>
      </c>
      <c r="BV22" t="s">
        <v>90</v>
      </c>
      <c r="BW22" t="s">
        <v>92</v>
      </c>
      <c r="BZ22" s="1">
        <v>45107</v>
      </c>
    </row>
    <row r="23" spans="1:78" ht="15" customHeight="1" x14ac:dyDescent="0.25">
      <c r="A23" t="s">
        <v>1675</v>
      </c>
      <c r="B23" t="s">
        <v>94</v>
      </c>
      <c r="C23" s="1">
        <v>44881</v>
      </c>
      <c r="D23" s="1">
        <v>44922</v>
      </c>
      <c r="H23" t="s">
        <v>78</v>
      </c>
      <c r="I23" t="str">
        <f>"CHONG"</f>
        <v>CHONG</v>
      </c>
      <c r="J23" t="str">
        <f>"GAB DU"</f>
        <v>GAB DU</v>
      </c>
      <c r="K23" t="str">
        <f>"N/A"</f>
        <v>N/A</v>
      </c>
      <c r="L23" t="str">
        <f>"PRESIDENT"</f>
        <v>PRESIDENT</v>
      </c>
      <c r="M23" t="str">
        <f>"PMB 310 BOX 10000, BEACH ROAD"</f>
        <v>PMB 310 BOX 10000, BEACH ROAD</v>
      </c>
      <c r="N23" t="str">
        <f>"CHALAN LAULAU"</f>
        <v>CHALAN LAULAU</v>
      </c>
      <c r="O23" t="str">
        <f t="shared" si="10"/>
        <v>SAIPAN</v>
      </c>
      <c r="P23" t="str">
        <f t="shared" si="11"/>
        <v>MP</v>
      </c>
      <c r="Q23" s="4" t="str">
        <f t="shared" si="12"/>
        <v>96950</v>
      </c>
      <c r="R23" t="str">
        <f t="shared" si="3"/>
        <v>UNITED STATES OF AMERICA</v>
      </c>
      <c r="S23" t="str">
        <f t="shared" si="17"/>
        <v>MP</v>
      </c>
      <c r="T23" s="5" t="str">
        <f>"16704833664"</f>
        <v>16704833664</v>
      </c>
      <c r="U23" t="str">
        <f>""</f>
        <v/>
      </c>
      <c r="V23" s="5" t="str">
        <f>""</f>
        <v/>
      </c>
      <c r="W23" t="str">
        <f>"chonginternational20@gmail.com"</f>
        <v>chonginternational20@gmail.com</v>
      </c>
      <c r="X23" t="str">
        <f>"CHONG INTERNATIONAL CORPORATION"</f>
        <v>CHONG INTERNATIONAL CORPORATION</v>
      </c>
      <c r="Y23" t="str">
        <f>"COMMERCIAL SPACE RENTAL"</f>
        <v>COMMERCIAL SPACE RENTAL</v>
      </c>
      <c r="Z23" t="str">
        <f>"PMB 310 BOX 10000, BEACH ROAD"</f>
        <v>PMB 310 BOX 10000, BEACH ROAD</v>
      </c>
      <c r="AA23" t="str">
        <f>"CHALAN LAULAU"</f>
        <v>CHALAN LAULAU</v>
      </c>
      <c r="AB23" t="str">
        <f t="shared" si="13"/>
        <v>SAIPAN</v>
      </c>
      <c r="AC23" t="str">
        <f t="shared" si="4"/>
        <v>MP</v>
      </c>
      <c r="AD23" t="str">
        <f t="shared" si="14"/>
        <v>96950</v>
      </c>
      <c r="AE23" t="str">
        <f t="shared" si="6"/>
        <v>UNITED STATES OF AMERICA</v>
      </c>
      <c r="AF23" t="str">
        <f t="shared" si="18"/>
        <v>MP</v>
      </c>
      <c r="AG23" s="4" t="str">
        <f>"16704833364"</f>
        <v>16704833364</v>
      </c>
      <c r="AH23" t="str">
        <f>""</f>
        <v/>
      </c>
      <c r="AI23" t="str">
        <f>"53112"</f>
        <v>53112</v>
      </c>
      <c r="AJ23" t="s">
        <v>79</v>
      </c>
      <c r="AK23" t="s">
        <v>79</v>
      </c>
      <c r="AL23" t="s">
        <v>80</v>
      </c>
      <c r="AM23" t="s">
        <v>79</v>
      </c>
      <c r="AP23" t="str">
        <f>"MAINTENANCE AND REPAIR WORKER (COMMERCIAL SPACE)"</f>
        <v>MAINTENANCE AND REPAIR WORKER (COMMERCIAL SPACE)</v>
      </c>
      <c r="AQ23" t="str">
        <f>"49-9071.00"</f>
        <v>49-9071.00</v>
      </c>
      <c r="AR23" t="str">
        <f>"Maintenance and Repair Workers, General"</f>
        <v>Maintenance and Repair Workers, General</v>
      </c>
      <c r="AS23" t="str">
        <f>"MANAGER"</f>
        <v>MANAGER</v>
      </c>
      <c r="AT23" t="s">
        <v>79</v>
      </c>
      <c r="AU23" t="str">
        <f>""</f>
        <v/>
      </c>
      <c r="AV23" t="str">
        <f>""</f>
        <v/>
      </c>
      <c r="AW23" t="s">
        <v>79</v>
      </c>
      <c r="AX23" t="str">
        <f>""</f>
        <v/>
      </c>
      <c r="AY23" t="s">
        <v>84</v>
      </c>
      <c r="BA23" t="s">
        <v>80</v>
      </c>
      <c r="BB23" t="s">
        <v>79</v>
      </c>
      <c r="BD23" t="s">
        <v>79</v>
      </c>
      <c r="BG23" t="s">
        <v>82</v>
      </c>
      <c r="BH23">
        <v>12</v>
      </c>
      <c r="BI23" t="s">
        <v>1221</v>
      </c>
      <c r="BJ23" t="s">
        <v>1676</v>
      </c>
      <c r="BK23" t="str">
        <f>"BEACH ROAD"</f>
        <v>BEACH ROAD</v>
      </c>
      <c r="BL23" t="str">
        <f>"CHALAN LAULAU"</f>
        <v>CHALAN LAULAU</v>
      </c>
      <c r="BM23" t="str">
        <f t="shared" si="15"/>
        <v>SAIPAN</v>
      </c>
      <c r="BO23" t="s">
        <v>83</v>
      </c>
      <c r="BP23" s="4" t="str">
        <f t="shared" si="16"/>
        <v>96950</v>
      </c>
      <c r="BQ23" t="s">
        <v>79</v>
      </c>
      <c r="BR23" t="str">
        <f>"49-9071.00"</f>
        <v>49-9071.00</v>
      </c>
      <c r="BS23" t="s">
        <v>146</v>
      </c>
      <c r="BT23" s="3">
        <v>9.19</v>
      </c>
      <c r="BU23" t="s">
        <v>80</v>
      </c>
      <c r="BV23" t="s">
        <v>90</v>
      </c>
      <c r="BW23" t="s">
        <v>92</v>
      </c>
      <c r="BZ23" s="1">
        <v>45107</v>
      </c>
    </row>
    <row r="24" spans="1:78" ht="15" customHeight="1" x14ac:dyDescent="0.25">
      <c r="A24" t="s">
        <v>1677</v>
      </c>
      <c r="B24" t="s">
        <v>94</v>
      </c>
      <c r="C24" s="1">
        <v>44881</v>
      </c>
      <c r="D24" s="1">
        <v>44922</v>
      </c>
      <c r="H24" t="s">
        <v>78</v>
      </c>
      <c r="I24" t="str">
        <f>"Cheo"</f>
        <v>Cheo</v>
      </c>
      <c r="J24" t="str">
        <f>"Patrick Kim"</f>
        <v>Patrick Kim</v>
      </c>
      <c r="K24" t="str">
        <f>"Leong"</f>
        <v>Leong</v>
      </c>
      <c r="L24" t="str">
        <f>"General Manager"</f>
        <v>General Manager</v>
      </c>
      <c r="M24" t="str">
        <f>"P.O. BOX 503984"</f>
        <v>P.O. BOX 503984</v>
      </c>
      <c r="N24" t="str">
        <f>""</f>
        <v/>
      </c>
      <c r="O24" t="str">
        <f t="shared" si="10"/>
        <v>SAIPAN</v>
      </c>
      <c r="P24" t="str">
        <f t="shared" si="11"/>
        <v>MP</v>
      </c>
      <c r="Q24" s="4" t="str">
        <f t="shared" si="12"/>
        <v>96950</v>
      </c>
      <c r="R24" t="str">
        <f t="shared" si="3"/>
        <v>UNITED STATES OF AMERICA</v>
      </c>
      <c r="S24" t="str">
        <f>"N/A"</f>
        <v>N/A</v>
      </c>
      <c r="T24" s="5" t="str">
        <f>"16702336927"</f>
        <v>16702336927</v>
      </c>
      <c r="U24" t="str">
        <f>""</f>
        <v/>
      </c>
      <c r="V24" s="5" t="str">
        <f>""</f>
        <v/>
      </c>
      <c r="W24" t="str">
        <f>"d.serve670@gmail.com"</f>
        <v>d.serve670@gmail.com</v>
      </c>
      <c r="X24" t="str">
        <f>"D-Serve LLC."</f>
        <v>D-Serve LLC.</v>
      </c>
      <c r="Y24" t="str">
        <f>""</f>
        <v/>
      </c>
      <c r="Z24" t="str">
        <f>"P.O. BOX 503984"</f>
        <v>P.O. BOX 503984</v>
      </c>
      <c r="AA24" t="str">
        <f>""</f>
        <v/>
      </c>
      <c r="AB24" t="str">
        <f t="shared" si="13"/>
        <v>SAIPAN</v>
      </c>
      <c r="AC24" t="str">
        <f t="shared" si="4"/>
        <v>MP</v>
      </c>
      <c r="AD24" t="str">
        <f t="shared" si="14"/>
        <v>96950</v>
      </c>
      <c r="AE24" t="str">
        <f t="shared" si="6"/>
        <v>UNITED STATES OF AMERICA</v>
      </c>
      <c r="AF24" t="str">
        <f>"N/A"</f>
        <v>N/A</v>
      </c>
      <c r="AG24" s="4" t="str">
        <f>"16702336927"</f>
        <v>16702336927</v>
      </c>
      <c r="AH24" t="str">
        <f>""</f>
        <v/>
      </c>
      <c r="AI24" t="str">
        <f>"81111"</f>
        <v>81111</v>
      </c>
      <c r="AJ24" t="s">
        <v>79</v>
      </c>
      <c r="AK24" t="s">
        <v>79</v>
      </c>
      <c r="AL24" t="s">
        <v>80</v>
      </c>
      <c r="AM24" t="s">
        <v>79</v>
      </c>
      <c r="AP24" t="str">
        <f>"Inventory Specialist"</f>
        <v>Inventory Specialist</v>
      </c>
      <c r="AQ24" t="str">
        <f>"53-7065.00"</f>
        <v>53-7065.00</v>
      </c>
      <c r="AR24" t="str">
        <f>"Stockers and Order Fillers"</f>
        <v>Stockers and Order Fillers</v>
      </c>
      <c r="AS24" t="str">
        <f>""</f>
        <v/>
      </c>
      <c r="AT24" t="s">
        <v>79</v>
      </c>
      <c r="AU24" t="str">
        <f>""</f>
        <v/>
      </c>
      <c r="AV24" t="str">
        <f>""</f>
        <v/>
      </c>
      <c r="AW24" t="s">
        <v>79</v>
      </c>
      <c r="AX24" t="str">
        <f>""</f>
        <v/>
      </c>
      <c r="AY24" t="s">
        <v>84</v>
      </c>
      <c r="BA24" t="s">
        <v>80</v>
      </c>
      <c r="BB24" t="s">
        <v>79</v>
      </c>
      <c r="BD24" t="s">
        <v>79</v>
      </c>
      <c r="BG24" t="s">
        <v>82</v>
      </c>
      <c r="BH24">
        <v>6</v>
      </c>
      <c r="BI24" t="s">
        <v>1678</v>
      </c>
      <c r="BJ24" t="s">
        <v>1679</v>
      </c>
      <c r="BK24" t="str">
        <f>"San Antonio Village Beach Road"</f>
        <v>San Antonio Village Beach Road</v>
      </c>
      <c r="BL24" t="str">
        <f>""</f>
        <v/>
      </c>
      <c r="BM24" t="str">
        <f>"Saipan"</f>
        <v>Saipan</v>
      </c>
      <c r="BO24" t="s">
        <v>83</v>
      </c>
      <c r="BP24" s="4" t="str">
        <f t="shared" si="16"/>
        <v>96950</v>
      </c>
      <c r="BQ24" t="s">
        <v>79</v>
      </c>
      <c r="BR24" t="str">
        <f>"53-7065.00"</f>
        <v>53-7065.00</v>
      </c>
      <c r="BS24" t="s">
        <v>342</v>
      </c>
      <c r="BT24" s="3">
        <v>7.97</v>
      </c>
      <c r="BU24" t="s">
        <v>80</v>
      </c>
      <c r="BV24" t="s">
        <v>90</v>
      </c>
      <c r="BW24" t="s">
        <v>92</v>
      </c>
      <c r="BZ24" s="1">
        <v>45107</v>
      </c>
    </row>
    <row r="25" spans="1:78" ht="15" customHeight="1" x14ac:dyDescent="0.25">
      <c r="A25" t="s">
        <v>1680</v>
      </c>
      <c r="B25" t="s">
        <v>94</v>
      </c>
      <c r="C25" s="1">
        <v>44881</v>
      </c>
      <c r="D25" s="1">
        <v>44922</v>
      </c>
      <c r="H25" t="s">
        <v>78</v>
      </c>
      <c r="I25" t="str">
        <f>"Cheo"</f>
        <v>Cheo</v>
      </c>
      <c r="J25" t="str">
        <f>"Patrick Kim"</f>
        <v>Patrick Kim</v>
      </c>
      <c r="K25" t="str">
        <f>"Leong"</f>
        <v>Leong</v>
      </c>
      <c r="L25" t="str">
        <f>"General Manager"</f>
        <v>General Manager</v>
      </c>
      <c r="M25" t="str">
        <f>"P.O. Box 503984"</f>
        <v>P.O. Box 503984</v>
      </c>
      <c r="N25" t="str">
        <f>""</f>
        <v/>
      </c>
      <c r="O25" t="str">
        <f>"Saipan"</f>
        <v>Saipan</v>
      </c>
      <c r="P25" t="str">
        <f t="shared" si="11"/>
        <v>MP</v>
      </c>
      <c r="Q25" s="4" t="str">
        <f t="shared" si="12"/>
        <v>96950</v>
      </c>
      <c r="R25" t="str">
        <f t="shared" si="3"/>
        <v>UNITED STATES OF AMERICA</v>
      </c>
      <c r="S25" t="str">
        <f>"N/A"</f>
        <v>N/A</v>
      </c>
      <c r="T25" s="5" t="str">
        <f>"16702336927"</f>
        <v>16702336927</v>
      </c>
      <c r="U25" t="str">
        <f>""</f>
        <v/>
      </c>
      <c r="V25" s="5" t="str">
        <f>""</f>
        <v/>
      </c>
      <c r="W25" t="str">
        <f>"d.serve670@gmail.com"</f>
        <v>d.serve670@gmail.com</v>
      </c>
      <c r="X25" t="str">
        <f>"D-Serve LLC."</f>
        <v>D-Serve LLC.</v>
      </c>
      <c r="Y25" t="str">
        <f>""</f>
        <v/>
      </c>
      <c r="Z25" t="str">
        <f>"P.O Box 503984"</f>
        <v>P.O Box 503984</v>
      </c>
      <c r="AA25" t="str">
        <f>""</f>
        <v/>
      </c>
      <c r="AB25" t="str">
        <f>"Saipan"</f>
        <v>Saipan</v>
      </c>
      <c r="AC25" t="str">
        <f t="shared" si="4"/>
        <v>MP</v>
      </c>
      <c r="AD25" t="str">
        <f t="shared" si="14"/>
        <v>96950</v>
      </c>
      <c r="AE25" t="str">
        <f t="shared" si="6"/>
        <v>UNITED STATES OF AMERICA</v>
      </c>
      <c r="AF25" t="str">
        <f>"N/A"</f>
        <v>N/A</v>
      </c>
      <c r="AG25" s="4" t="str">
        <f>"16702336927"</f>
        <v>16702336927</v>
      </c>
      <c r="AH25" t="str">
        <f>""</f>
        <v/>
      </c>
      <c r="AI25" t="str">
        <f>"81111"</f>
        <v>81111</v>
      </c>
      <c r="AJ25" t="s">
        <v>79</v>
      </c>
      <c r="AK25" t="s">
        <v>79</v>
      </c>
      <c r="AL25" t="s">
        <v>80</v>
      </c>
      <c r="AM25" t="s">
        <v>79</v>
      </c>
      <c r="AP25" t="str">
        <f>"Production Helper"</f>
        <v>Production Helper</v>
      </c>
      <c r="AQ25" t="str">
        <f>"51-9198.00"</f>
        <v>51-9198.00</v>
      </c>
      <c r="AR25" t="str">
        <f>"Helpers--Production Workers"</f>
        <v>Helpers--Production Workers</v>
      </c>
      <c r="AS25" t="str">
        <f>"Production Supervisor"</f>
        <v>Production Supervisor</v>
      </c>
      <c r="AT25" t="s">
        <v>79</v>
      </c>
      <c r="AU25" t="str">
        <f>""</f>
        <v/>
      </c>
      <c r="AV25" t="str">
        <f>""</f>
        <v/>
      </c>
      <c r="AW25" t="s">
        <v>79</v>
      </c>
      <c r="AX25" t="str">
        <f>""</f>
        <v/>
      </c>
      <c r="AY25" t="s">
        <v>84</v>
      </c>
      <c r="BA25" t="s">
        <v>80</v>
      </c>
      <c r="BB25" t="s">
        <v>79</v>
      </c>
      <c r="BD25" t="s">
        <v>79</v>
      </c>
      <c r="BG25" t="s">
        <v>82</v>
      </c>
      <c r="BH25">
        <v>12</v>
      </c>
      <c r="BI25" t="s">
        <v>1681</v>
      </c>
      <c r="BJ25" t="s">
        <v>1682</v>
      </c>
      <c r="BK25" t="str">
        <f>"San Antonio Beach Road"</f>
        <v>San Antonio Beach Road</v>
      </c>
      <c r="BL25" t="str">
        <f>""</f>
        <v/>
      </c>
      <c r="BM25" t="str">
        <f>"Saipan"</f>
        <v>Saipan</v>
      </c>
      <c r="BO25" t="s">
        <v>83</v>
      </c>
      <c r="BP25" s="4" t="str">
        <f t="shared" si="16"/>
        <v>96950</v>
      </c>
      <c r="BQ25" t="s">
        <v>79</v>
      </c>
      <c r="BR25" t="str">
        <f>"51-9198.00"</f>
        <v>51-9198.00</v>
      </c>
      <c r="BS25" t="s">
        <v>954</v>
      </c>
      <c r="BT25" s="3">
        <v>8.1300000000000008</v>
      </c>
      <c r="BU25" t="s">
        <v>80</v>
      </c>
      <c r="BV25" t="s">
        <v>90</v>
      </c>
      <c r="BW25" t="s">
        <v>92</v>
      </c>
      <c r="BZ25" s="1">
        <v>45107</v>
      </c>
    </row>
    <row r="26" spans="1:78" ht="15" customHeight="1" x14ac:dyDescent="0.25">
      <c r="A26" t="s">
        <v>1683</v>
      </c>
      <c r="B26" t="s">
        <v>94</v>
      </c>
      <c r="C26" s="1">
        <v>44881</v>
      </c>
      <c r="D26" s="1">
        <v>44922</v>
      </c>
      <c r="H26" t="s">
        <v>78</v>
      </c>
      <c r="I26" t="str">
        <f>"GUILLO"</f>
        <v>GUILLO</v>
      </c>
      <c r="J26" t="str">
        <f>"EDEN"</f>
        <v>EDEN</v>
      </c>
      <c r="K26" t="str">
        <f>"FALLAR"</f>
        <v>FALLAR</v>
      </c>
      <c r="L26" t="str">
        <f>"GENERAL MANAGER"</f>
        <v>GENERAL MANAGER</v>
      </c>
      <c r="M26" t="str">
        <f>"PMB 955 PO BOX 10000"</f>
        <v>PMB 955 PO BOX 10000</v>
      </c>
      <c r="N26" t="str">
        <f>"ROOM 104 MARIANAS BUSINESS PLAZA NAURU LOOP SUSUPE"</f>
        <v>ROOM 104 MARIANAS BUSINESS PLAZA NAURU LOOP SUSUPE</v>
      </c>
      <c r="O26" t="str">
        <f>"SAIPAN"</f>
        <v>SAIPAN</v>
      </c>
      <c r="P26" t="str">
        <f t="shared" si="11"/>
        <v>MP</v>
      </c>
      <c r="Q26" s="4" t="str">
        <f t="shared" si="12"/>
        <v>96950</v>
      </c>
      <c r="R26" t="str">
        <f t="shared" si="3"/>
        <v>UNITED STATES OF AMERICA</v>
      </c>
      <c r="S26" t="str">
        <f>""</f>
        <v/>
      </c>
      <c r="T26" s="5" t="str">
        <f>"16702352883"</f>
        <v>16702352883</v>
      </c>
      <c r="U26" t="str">
        <f>""</f>
        <v/>
      </c>
      <c r="V26" s="5" t="str">
        <f>""</f>
        <v/>
      </c>
      <c r="W26" t="str">
        <f>"efg.pacific.holdings@gmail.com"</f>
        <v>efg.pacific.holdings@gmail.com</v>
      </c>
      <c r="X26" t="str">
        <f>"EFG PACIFIC HOLDINGS, LLC"</f>
        <v>EFG PACIFIC HOLDINGS, LLC</v>
      </c>
      <c r="Y26" t="str">
        <f>"ISLAND BEST CHOICE"</f>
        <v>ISLAND BEST CHOICE</v>
      </c>
      <c r="Z26" t="str">
        <f>"PMB 955 PO BOX 10000"</f>
        <v>PMB 955 PO BOX 10000</v>
      </c>
      <c r="AA26" t="str">
        <f>"ROOM 104 MARIANAS BUSINESS PLAZA NAURU LOOP SUSUPE"</f>
        <v>ROOM 104 MARIANAS BUSINESS PLAZA NAURU LOOP SUSUPE</v>
      </c>
      <c r="AB26" t="str">
        <f>"SAIPAN"</f>
        <v>SAIPAN</v>
      </c>
      <c r="AC26" t="str">
        <f t="shared" si="4"/>
        <v>MP</v>
      </c>
      <c r="AD26" t="str">
        <f t="shared" si="14"/>
        <v>96950</v>
      </c>
      <c r="AE26" t="str">
        <f t="shared" si="6"/>
        <v>UNITED STATES OF AMERICA</v>
      </c>
      <c r="AF26" t="str">
        <f>""</f>
        <v/>
      </c>
      <c r="AG26" s="4" t="str">
        <f>"16702352883"</f>
        <v>16702352883</v>
      </c>
      <c r="AH26" t="str">
        <f>""</f>
        <v/>
      </c>
      <c r="AI26" t="str">
        <f>"56132"</f>
        <v>56132</v>
      </c>
      <c r="AJ26" t="s">
        <v>79</v>
      </c>
      <c r="AK26" t="s">
        <v>79</v>
      </c>
      <c r="AL26" t="s">
        <v>80</v>
      </c>
      <c r="AM26" t="s">
        <v>79</v>
      </c>
      <c r="AP26" t="str">
        <f>"HAIRSTYLIST/BEAUTICIAN"</f>
        <v>HAIRSTYLIST/BEAUTICIAN</v>
      </c>
      <c r="AQ26" t="str">
        <f>"39-5012.00"</f>
        <v>39-5012.00</v>
      </c>
      <c r="AR26" t="str">
        <f>"Hairdressers, Hairstylists, and Cosmetologists"</f>
        <v>Hairdressers, Hairstylists, and Cosmetologists</v>
      </c>
      <c r="AS26" t="str">
        <f>"N/A"</f>
        <v>N/A</v>
      </c>
      <c r="AT26" t="s">
        <v>79</v>
      </c>
      <c r="AU26" t="str">
        <f>""</f>
        <v/>
      </c>
      <c r="AV26" t="str">
        <f>""</f>
        <v/>
      </c>
      <c r="AW26" t="s">
        <v>79</v>
      </c>
      <c r="AX26" t="str">
        <f>""</f>
        <v/>
      </c>
      <c r="AY26" t="s">
        <v>84</v>
      </c>
      <c r="BA26" t="s">
        <v>115</v>
      </c>
      <c r="BB26" t="s">
        <v>79</v>
      </c>
      <c r="BD26" t="s">
        <v>82</v>
      </c>
      <c r="BE26">
        <v>6</v>
      </c>
      <c r="BF26" t="s">
        <v>1643</v>
      </c>
      <c r="BG26" t="s">
        <v>82</v>
      </c>
      <c r="BH26">
        <v>12</v>
      </c>
      <c r="BI26" t="s">
        <v>1684</v>
      </c>
      <c r="BJ26" s="2" t="s">
        <v>1685</v>
      </c>
      <c r="BK26" t="str">
        <f>"PMB 955 PO BOX 10000"</f>
        <v>PMB 955 PO BOX 10000</v>
      </c>
      <c r="BL26" t="str">
        <f>"ROOM 104 MARIANAS BUSINESS PLAZA NAURU LOOP SUSUPE"</f>
        <v>ROOM 104 MARIANAS BUSINESS PLAZA NAURU LOOP SUSUPE</v>
      </c>
      <c r="BM26" t="str">
        <f>"SAIPAN"</f>
        <v>SAIPAN</v>
      </c>
      <c r="BO26" t="s">
        <v>83</v>
      </c>
      <c r="BP26" s="4" t="str">
        <f t="shared" si="16"/>
        <v>96950</v>
      </c>
      <c r="BQ26" t="s">
        <v>79</v>
      </c>
      <c r="BR26" t="str">
        <f>"39-5012.00"</f>
        <v>39-5012.00</v>
      </c>
      <c r="BS26" t="s">
        <v>184</v>
      </c>
      <c r="BT26" s="3">
        <v>7.88</v>
      </c>
      <c r="BU26" t="s">
        <v>80</v>
      </c>
      <c r="BV26" t="s">
        <v>90</v>
      </c>
      <c r="BW26" t="s">
        <v>92</v>
      </c>
      <c r="BZ26" s="1">
        <v>45107</v>
      </c>
    </row>
    <row r="27" spans="1:78" ht="15" customHeight="1" x14ac:dyDescent="0.25">
      <c r="A27" t="s">
        <v>1686</v>
      </c>
      <c r="B27" t="s">
        <v>94</v>
      </c>
      <c r="C27" s="1">
        <v>44881</v>
      </c>
      <c r="D27" s="1">
        <v>44922</v>
      </c>
      <c r="H27" t="s">
        <v>78</v>
      </c>
      <c r="I27" t="str">
        <f>"GUILLO"</f>
        <v>GUILLO</v>
      </c>
      <c r="J27" t="str">
        <f>"EDEN"</f>
        <v>EDEN</v>
      </c>
      <c r="K27" t="str">
        <f>"FALLAR"</f>
        <v>FALLAR</v>
      </c>
      <c r="L27" t="str">
        <f>"GENERAL MANAGER"</f>
        <v>GENERAL MANAGER</v>
      </c>
      <c r="M27" t="str">
        <f>"PMB 955 PO BOX 10000"</f>
        <v>PMB 955 PO BOX 10000</v>
      </c>
      <c r="N27" t="str">
        <f>"ROOM 104 MARIANAS BUSINESS PLAZA NAURU LOOP SUSUPE"</f>
        <v>ROOM 104 MARIANAS BUSINESS PLAZA NAURU LOOP SUSUPE</v>
      </c>
      <c r="O27" t="str">
        <f>"SAIPAN"</f>
        <v>SAIPAN</v>
      </c>
      <c r="P27" t="str">
        <f t="shared" si="11"/>
        <v>MP</v>
      </c>
      <c r="Q27" s="4" t="str">
        <f t="shared" si="12"/>
        <v>96950</v>
      </c>
      <c r="R27" t="str">
        <f t="shared" si="3"/>
        <v>UNITED STATES OF AMERICA</v>
      </c>
      <c r="S27" t="str">
        <f>""</f>
        <v/>
      </c>
      <c r="T27" s="5" t="str">
        <f>"16702352883"</f>
        <v>16702352883</v>
      </c>
      <c r="U27" t="str">
        <f>"0"</f>
        <v>0</v>
      </c>
      <c r="V27" s="5" t="str">
        <f>""</f>
        <v/>
      </c>
      <c r="W27" t="str">
        <f>"efg.pacific.holdings@gmail.com"</f>
        <v>efg.pacific.holdings@gmail.com</v>
      </c>
      <c r="X27" t="str">
        <f>"EFG PACIFIC HOLDINGS, LLC"</f>
        <v>EFG PACIFIC HOLDINGS, LLC</v>
      </c>
      <c r="Y27" t="str">
        <f>"ISLAND BEST CHOICE"</f>
        <v>ISLAND BEST CHOICE</v>
      </c>
      <c r="Z27" t="str">
        <f>"PMB 955 PO BOX 10000"</f>
        <v>PMB 955 PO BOX 10000</v>
      </c>
      <c r="AA27" t="str">
        <f>"ROOM 104 MARIANAS BUSINESS PLAZA NAURU LOOP SUSUPE"</f>
        <v>ROOM 104 MARIANAS BUSINESS PLAZA NAURU LOOP SUSUPE</v>
      </c>
      <c r="AB27" t="str">
        <f>"SAIPAN"</f>
        <v>SAIPAN</v>
      </c>
      <c r="AC27" t="str">
        <f t="shared" si="4"/>
        <v>MP</v>
      </c>
      <c r="AD27" t="str">
        <f t="shared" si="14"/>
        <v>96950</v>
      </c>
      <c r="AE27" t="str">
        <f t="shared" si="6"/>
        <v>UNITED STATES OF AMERICA</v>
      </c>
      <c r="AF27" t="str">
        <f>""</f>
        <v/>
      </c>
      <c r="AG27" s="4" t="str">
        <f>"16702352883"</f>
        <v>16702352883</v>
      </c>
      <c r="AH27" t="str">
        <f>"0"</f>
        <v>0</v>
      </c>
      <c r="AI27" t="str">
        <f>"56132"</f>
        <v>56132</v>
      </c>
      <c r="AJ27" t="s">
        <v>79</v>
      </c>
      <c r="AK27" t="s">
        <v>79</v>
      </c>
      <c r="AL27" t="s">
        <v>80</v>
      </c>
      <c r="AM27" t="s">
        <v>79</v>
      </c>
      <c r="AP27" t="str">
        <f>"BOOKKEEPING, ACCOUNTING, AND AUDITING CLERKS"</f>
        <v>BOOKKEEPING, ACCOUNTING, AND AUDITING CLERKS</v>
      </c>
      <c r="AQ27" t="str">
        <f>"43-3031.00"</f>
        <v>43-3031.00</v>
      </c>
      <c r="AR27" t="str">
        <f>"Bookkeeping, Accounting, and Auditing Clerks"</f>
        <v>Bookkeeping, Accounting, and Auditing Clerks</v>
      </c>
      <c r="AS27" t="str">
        <f>"N/A"</f>
        <v>N/A</v>
      </c>
      <c r="AT27" t="s">
        <v>79</v>
      </c>
      <c r="AU27" t="str">
        <f>""</f>
        <v/>
      </c>
      <c r="AV27" t="str">
        <f>""</f>
        <v/>
      </c>
      <c r="AW27" t="s">
        <v>79</v>
      </c>
      <c r="AX27" t="str">
        <f>""</f>
        <v/>
      </c>
      <c r="AY27" t="s">
        <v>84</v>
      </c>
      <c r="BA27" t="s">
        <v>115</v>
      </c>
      <c r="BB27" t="s">
        <v>79</v>
      </c>
      <c r="BD27" t="s">
        <v>82</v>
      </c>
      <c r="BE27">
        <v>6</v>
      </c>
      <c r="BF27" t="s">
        <v>1643</v>
      </c>
      <c r="BG27" t="s">
        <v>82</v>
      </c>
      <c r="BH27">
        <v>12</v>
      </c>
      <c r="BI27" t="s">
        <v>1687</v>
      </c>
      <c r="BJ27" s="2" t="s">
        <v>1688</v>
      </c>
      <c r="BK27" t="str">
        <f>"PMB 955 PO BOX 10000"</f>
        <v>PMB 955 PO BOX 10000</v>
      </c>
      <c r="BL27" t="str">
        <f>"ROOM 104 MARIANAS BUSINESS PLAZA NAURU LOOP SUSUPE"</f>
        <v>ROOM 104 MARIANAS BUSINESS PLAZA NAURU LOOP SUSUPE</v>
      </c>
      <c r="BM27" t="str">
        <f>"SAIPAN"</f>
        <v>SAIPAN</v>
      </c>
      <c r="BO27" t="s">
        <v>83</v>
      </c>
      <c r="BP27" s="4" t="str">
        <f t="shared" si="16"/>
        <v>96950</v>
      </c>
      <c r="BQ27" t="s">
        <v>79</v>
      </c>
      <c r="BR27" t="str">
        <f>"43-3031.00"</f>
        <v>43-3031.00</v>
      </c>
      <c r="BS27" t="s">
        <v>142</v>
      </c>
      <c r="BT27" s="3">
        <v>11.21</v>
      </c>
      <c r="BU27" t="s">
        <v>80</v>
      </c>
      <c r="BV27" t="s">
        <v>90</v>
      </c>
      <c r="BW27" t="s">
        <v>92</v>
      </c>
      <c r="BZ27" s="1">
        <v>45107</v>
      </c>
    </row>
    <row r="28" spans="1:78" ht="15" customHeight="1" x14ac:dyDescent="0.25">
      <c r="A28" t="s">
        <v>1634</v>
      </c>
      <c r="B28" t="s">
        <v>94</v>
      </c>
      <c r="C28" s="1">
        <v>44880</v>
      </c>
      <c r="D28" s="1">
        <v>44922</v>
      </c>
      <c r="H28" t="s">
        <v>78</v>
      </c>
      <c r="I28" t="str">
        <f>"Salcedo"</f>
        <v>Salcedo</v>
      </c>
      <c r="J28" t="str">
        <f>"Apolinario Jr."</f>
        <v>Apolinario Jr.</v>
      </c>
      <c r="K28" t="str">
        <f>"Manglapus"</f>
        <v>Manglapus</v>
      </c>
      <c r="L28" t="str">
        <f>"Finance Manager"</f>
        <v>Finance Manager</v>
      </c>
      <c r="M28" t="str">
        <f>"Unit 6 Rem Ctr Cheribiyan Dr"</f>
        <v>Unit 6 Rem Ctr Cheribiyan Dr</v>
      </c>
      <c r="N28" t="str">
        <f>"Gualo Rai"</f>
        <v>Gualo Rai</v>
      </c>
      <c r="O28" t="str">
        <f>"Saipan"</f>
        <v>Saipan</v>
      </c>
      <c r="P28" t="str">
        <f t="shared" si="11"/>
        <v>MP</v>
      </c>
      <c r="Q28" s="4" t="str">
        <f t="shared" si="12"/>
        <v>96950</v>
      </c>
      <c r="R28" t="str">
        <f t="shared" si="3"/>
        <v>UNITED STATES OF AMERICA</v>
      </c>
      <c r="S28" t="str">
        <f>""</f>
        <v/>
      </c>
      <c r="T28" s="5" t="str">
        <f>"16702353890"</f>
        <v>16702353890</v>
      </c>
      <c r="U28" t="str">
        <f>""</f>
        <v/>
      </c>
      <c r="V28" s="5" t="str">
        <f>""</f>
        <v/>
      </c>
      <c r="W28" t="str">
        <f>"juancho_salcedo@yaongcorp.com"</f>
        <v>juancho_salcedo@yaongcorp.com</v>
      </c>
      <c r="X28" t="str">
        <f>"YAONG CORPORATION"</f>
        <v>YAONG CORPORATION</v>
      </c>
      <c r="Y28" t="str">
        <f>""</f>
        <v/>
      </c>
      <c r="Z28" t="str">
        <f>"Unit 6 Rem Ctr Cheribiyan Dr"</f>
        <v>Unit 6 Rem Ctr Cheribiyan Dr</v>
      </c>
      <c r="AA28" t="str">
        <f>"Gualo Rai"</f>
        <v>Gualo Rai</v>
      </c>
      <c r="AB28" t="str">
        <f>"Saipan"</f>
        <v>Saipan</v>
      </c>
      <c r="AC28" t="str">
        <f t="shared" si="4"/>
        <v>MP</v>
      </c>
      <c r="AD28" t="str">
        <f t="shared" si="14"/>
        <v>96950</v>
      </c>
      <c r="AE28" t="str">
        <f t="shared" si="6"/>
        <v>UNITED STATES OF AMERICA</v>
      </c>
      <c r="AF28" t="str">
        <f>""</f>
        <v/>
      </c>
      <c r="AG28" s="4" t="str">
        <f>"16702358727"</f>
        <v>16702358727</v>
      </c>
      <c r="AH28" t="str">
        <f>""</f>
        <v/>
      </c>
      <c r="AI28" t="str">
        <f>"424420"</f>
        <v>424420</v>
      </c>
      <c r="AJ28" t="s">
        <v>79</v>
      </c>
      <c r="AK28" t="s">
        <v>79</v>
      </c>
      <c r="AL28" t="s">
        <v>80</v>
      </c>
      <c r="AM28" t="s">
        <v>79</v>
      </c>
      <c r="AP28" t="str">
        <f>"Customer Service Representative"</f>
        <v>Customer Service Representative</v>
      </c>
      <c r="AQ28" t="str">
        <f>"43-4051.00"</f>
        <v>43-4051.00</v>
      </c>
      <c r="AR28" t="str">
        <f>"Customer Service Representatives"</f>
        <v>Customer Service Representatives</v>
      </c>
      <c r="AS28" t="str">
        <f>""</f>
        <v/>
      </c>
      <c r="AT28" t="s">
        <v>79</v>
      </c>
      <c r="AU28" t="str">
        <f>""</f>
        <v/>
      </c>
      <c r="AV28" t="str">
        <f>""</f>
        <v/>
      </c>
      <c r="AW28" t="s">
        <v>79</v>
      </c>
      <c r="AX28" t="str">
        <f>""</f>
        <v/>
      </c>
      <c r="AY28" t="s">
        <v>84</v>
      </c>
      <c r="BA28" t="s">
        <v>80</v>
      </c>
      <c r="BB28" t="s">
        <v>79</v>
      </c>
      <c r="BD28" t="s">
        <v>79</v>
      </c>
      <c r="BG28" t="s">
        <v>82</v>
      </c>
      <c r="BH28">
        <v>12</v>
      </c>
      <c r="BI28" t="s">
        <v>1635</v>
      </c>
      <c r="BJ28" t="s">
        <v>1636</v>
      </c>
      <c r="BK28" t="str">
        <f>"Chalan Pale Arnold Chalan Laulau Village"</f>
        <v>Chalan Pale Arnold Chalan Laulau Village</v>
      </c>
      <c r="BL28" t="str">
        <f>""</f>
        <v/>
      </c>
      <c r="BM28" t="str">
        <f>"Saipan"</f>
        <v>Saipan</v>
      </c>
      <c r="BO28" t="s">
        <v>83</v>
      </c>
      <c r="BP28" s="4" t="str">
        <f t="shared" si="16"/>
        <v>96950</v>
      </c>
      <c r="BQ28" t="s">
        <v>79</v>
      </c>
      <c r="BR28" t="str">
        <f>"43-4051.00"</f>
        <v>43-4051.00</v>
      </c>
      <c r="BS28" t="s">
        <v>1637</v>
      </c>
      <c r="BT28" s="3">
        <v>9.7899999999999991</v>
      </c>
      <c r="BU28" t="s">
        <v>80</v>
      </c>
      <c r="BV28" t="s">
        <v>90</v>
      </c>
      <c r="BW28" t="s">
        <v>92</v>
      </c>
      <c r="BZ28" s="1">
        <v>45107</v>
      </c>
    </row>
    <row r="29" spans="1:78" ht="15" customHeight="1" x14ac:dyDescent="0.25">
      <c r="A29" t="s">
        <v>1638</v>
      </c>
      <c r="B29" t="s">
        <v>94</v>
      </c>
      <c r="C29" s="1">
        <v>44880</v>
      </c>
      <c r="D29" s="1">
        <v>44922</v>
      </c>
      <c r="H29" t="s">
        <v>78</v>
      </c>
      <c r="I29" t="str">
        <f>"GUILLO"</f>
        <v>GUILLO</v>
      </c>
      <c r="J29" t="str">
        <f>"EDEN"</f>
        <v>EDEN</v>
      </c>
      <c r="K29" t="str">
        <f>"FALLAR"</f>
        <v>FALLAR</v>
      </c>
      <c r="L29" t="str">
        <f>"GENERAL MANAGER"</f>
        <v>GENERAL MANAGER</v>
      </c>
      <c r="M29" t="str">
        <f>"PMB 955 BOX 10000"</f>
        <v>PMB 955 BOX 10000</v>
      </c>
      <c r="N29" t="str">
        <f>"ROOM 104 MARIANAS BUSINESS PLAZA NAURU LOOP SUSUPE"</f>
        <v>ROOM 104 MARIANAS BUSINESS PLAZA NAURU LOOP SUSUPE</v>
      </c>
      <c r="O29" t="str">
        <f t="shared" ref="O29:O34" si="19">"SAIPAN"</f>
        <v>SAIPAN</v>
      </c>
      <c r="P29" t="str">
        <f t="shared" si="11"/>
        <v>MP</v>
      </c>
      <c r="Q29" s="4" t="str">
        <f t="shared" si="12"/>
        <v>96950</v>
      </c>
      <c r="R29" t="str">
        <f t="shared" si="3"/>
        <v>UNITED STATES OF AMERICA</v>
      </c>
      <c r="S29" t="str">
        <f>""</f>
        <v/>
      </c>
      <c r="T29" s="5" t="str">
        <f>"16702352883"</f>
        <v>16702352883</v>
      </c>
      <c r="U29" t="str">
        <f>"0"</f>
        <v>0</v>
      </c>
      <c r="V29" s="5" t="str">
        <f>""</f>
        <v/>
      </c>
      <c r="W29" t="str">
        <f>"efg.pacific.holdings@gmail.com"</f>
        <v>efg.pacific.holdings@gmail.com</v>
      </c>
      <c r="X29" t="str">
        <f>"EFG PACIFIC HOLDINGS, LLC"</f>
        <v>EFG PACIFIC HOLDINGS, LLC</v>
      </c>
      <c r="Y29" t="str">
        <f>"ISLAND BEST CHOICE"</f>
        <v>ISLAND BEST CHOICE</v>
      </c>
      <c r="Z29" t="str">
        <f>"PMB 955 PO BOX 10000"</f>
        <v>PMB 955 PO BOX 10000</v>
      </c>
      <c r="AA29" t="str">
        <f>"ROOM 104 MARIANAS BUSINESS PLAZA NAURU LOOP SUSUPE"</f>
        <v>ROOM 104 MARIANAS BUSINESS PLAZA NAURU LOOP SUSUPE</v>
      </c>
      <c r="AB29" t="str">
        <f t="shared" ref="AB29:AB34" si="20">"SAIPAN"</f>
        <v>SAIPAN</v>
      </c>
      <c r="AC29" t="str">
        <f t="shared" si="4"/>
        <v>MP</v>
      </c>
      <c r="AD29" t="str">
        <f t="shared" si="14"/>
        <v>96950</v>
      </c>
      <c r="AE29" t="str">
        <f t="shared" si="6"/>
        <v>UNITED STATES OF AMERICA</v>
      </c>
      <c r="AF29" t="str">
        <f>""</f>
        <v/>
      </c>
      <c r="AG29" s="4" t="str">
        <f>"16702352883"</f>
        <v>16702352883</v>
      </c>
      <c r="AH29" t="str">
        <f>"0"</f>
        <v>0</v>
      </c>
      <c r="AI29" t="str">
        <f>"56132"</f>
        <v>56132</v>
      </c>
      <c r="AJ29" t="s">
        <v>79</v>
      </c>
      <c r="AK29" t="s">
        <v>79</v>
      </c>
      <c r="AL29" t="s">
        <v>80</v>
      </c>
      <c r="AM29" t="s">
        <v>79</v>
      </c>
      <c r="AP29" t="str">
        <f>"AUTOMOTIVE SERVICE TECHNICIAN &amp; MECHANICS"</f>
        <v>AUTOMOTIVE SERVICE TECHNICIAN &amp; MECHANICS</v>
      </c>
      <c r="AQ29" t="str">
        <f>"49-3023.00"</f>
        <v>49-3023.00</v>
      </c>
      <c r="AR29" t="str">
        <f>"Automotive Service Technicians and Mechanics"</f>
        <v>Automotive Service Technicians and Mechanics</v>
      </c>
      <c r="AS29" t="str">
        <f>"N/A"</f>
        <v>N/A</v>
      </c>
      <c r="AT29" t="s">
        <v>79</v>
      </c>
      <c r="AU29" t="str">
        <f>""</f>
        <v/>
      </c>
      <c r="AV29" t="str">
        <f>""</f>
        <v/>
      </c>
      <c r="AW29" t="s">
        <v>79</v>
      </c>
      <c r="AX29" t="str">
        <f>""</f>
        <v/>
      </c>
      <c r="AY29" t="s">
        <v>84</v>
      </c>
      <c r="BA29" t="s">
        <v>80</v>
      </c>
      <c r="BB29" t="s">
        <v>79</v>
      </c>
      <c r="BD29" t="s">
        <v>82</v>
      </c>
      <c r="BE29">
        <v>6</v>
      </c>
      <c r="BF29" t="s">
        <v>1639</v>
      </c>
      <c r="BG29" t="s">
        <v>82</v>
      </c>
      <c r="BH29">
        <v>12</v>
      </c>
      <c r="BI29" t="s">
        <v>1640</v>
      </c>
      <c r="BJ29" t="s">
        <v>1641</v>
      </c>
      <c r="BK29" t="str">
        <f>"PMB 955 PO BOX 10000"</f>
        <v>PMB 955 PO BOX 10000</v>
      </c>
      <c r="BL29" t="str">
        <f>"ROOM 104 MARIANAS BUSINESS PLAZA NAURU LOOP SUSUPE"</f>
        <v>ROOM 104 MARIANAS BUSINESS PLAZA NAURU LOOP SUSUPE</v>
      </c>
      <c r="BM29" t="str">
        <f>"SAIPAN"</f>
        <v>SAIPAN</v>
      </c>
      <c r="BO29" t="s">
        <v>83</v>
      </c>
      <c r="BP29" s="4" t="str">
        <f t="shared" si="16"/>
        <v>96950</v>
      </c>
      <c r="BQ29" t="s">
        <v>79</v>
      </c>
      <c r="BR29" t="str">
        <f>"49-3023.00"</f>
        <v>49-3023.00</v>
      </c>
      <c r="BS29" t="s">
        <v>269</v>
      </c>
      <c r="BT29" s="3">
        <v>9.93</v>
      </c>
      <c r="BU29" t="s">
        <v>80</v>
      </c>
      <c r="BV29" t="s">
        <v>90</v>
      </c>
      <c r="BW29" t="s">
        <v>92</v>
      </c>
      <c r="BZ29" s="1">
        <v>45107</v>
      </c>
    </row>
    <row r="30" spans="1:78" ht="15" customHeight="1" x14ac:dyDescent="0.25">
      <c r="A30" t="s">
        <v>1642</v>
      </c>
      <c r="B30" t="s">
        <v>94</v>
      </c>
      <c r="C30" s="1">
        <v>44880</v>
      </c>
      <c r="D30" s="1">
        <v>44922</v>
      </c>
      <c r="H30" t="s">
        <v>78</v>
      </c>
      <c r="I30" t="str">
        <f>"GUILLO"</f>
        <v>GUILLO</v>
      </c>
      <c r="J30" t="str">
        <f>"EDEN"</f>
        <v>EDEN</v>
      </c>
      <c r="K30" t="str">
        <f>"FALLAR"</f>
        <v>FALLAR</v>
      </c>
      <c r="L30" t="str">
        <f>"GENERAL MANAGER"</f>
        <v>GENERAL MANAGER</v>
      </c>
      <c r="M30" t="str">
        <f>"PMB 955 PO BOX 10000"</f>
        <v>PMB 955 PO BOX 10000</v>
      </c>
      <c r="N30" t="str">
        <f>"ROOM 104 MARIANAS BUSINESS PLAZA NAURU LOOP SUSUPE"</f>
        <v>ROOM 104 MARIANAS BUSINESS PLAZA NAURU LOOP SUSUPE</v>
      </c>
      <c r="O30" t="str">
        <f t="shared" si="19"/>
        <v>SAIPAN</v>
      </c>
      <c r="P30" t="str">
        <f t="shared" si="11"/>
        <v>MP</v>
      </c>
      <c r="Q30" s="4" t="str">
        <f t="shared" si="12"/>
        <v>96950</v>
      </c>
      <c r="R30" t="str">
        <f t="shared" si="3"/>
        <v>UNITED STATES OF AMERICA</v>
      </c>
      <c r="S30" t="str">
        <f>""</f>
        <v/>
      </c>
      <c r="T30" s="5" t="str">
        <f>"16702352883"</f>
        <v>16702352883</v>
      </c>
      <c r="U30" t="str">
        <f>"0"</f>
        <v>0</v>
      </c>
      <c r="V30" s="5" t="str">
        <f>""</f>
        <v/>
      </c>
      <c r="W30" t="str">
        <f>"efg.pacific.holdings@gmail.com"</f>
        <v>efg.pacific.holdings@gmail.com</v>
      </c>
      <c r="X30" t="str">
        <f>"EFG PACIFIC HOLDINGS, LLC"</f>
        <v>EFG PACIFIC HOLDINGS, LLC</v>
      </c>
      <c r="Y30" t="str">
        <f>"ISLAND BEST CHOICE"</f>
        <v>ISLAND BEST CHOICE</v>
      </c>
      <c r="Z30" t="str">
        <f>"PMB 955 PO BOX 10000"</f>
        <v>PMB 955 PO BOX 10000</v>
      </c>
      <c r="AA30" t="str">
        <f>"ROOM 104 MARIANAS BUSINESS PLAZA NAURU LOOP SUSUPE"</f>
        <v>ROOM 104 MARIANAS BUSINESS PLAZA NAURU LOOP SUSUPE</v>
      </c>
      <c r="AB30" t="str">
        <f t="shared" si="20"/>
        <v>SAIPAN</v>
      </c>
      <c r="AC30" t="str">
        <f t="shared" si="4"/>
        <v>MP</v>
      </c>
      <c r="AD30" t="str">
        <f t="shared" si="14"/>
        <v>96950</v>
      </c>
      <c r="AE30" t="str">
        <f t="shared" si="6"/>
        <v>UNITED STATES OF AMERICA</v>
      </c>
      <c r="AF30" t="str">
        <f>""</f>
        <v/>
      </c>
      <c r="AG30" s="4" t="str">
        <f>"16702352883"</f>
        <v>16702352883</v>
      </c>
      <c r="AH30" t="str">
        <f>"0"</f>
        <v>0</v>
      </c>
      <c r="AI30" t="str">
        <f>"56132"</f>
        <v>56132</v>
      </c>
      <c r="AJ30" t="s">
        <v>79</v>
      </c>
      <c r="AK30" t="s">
        <v>79</v>
      </c>
      <c r="AL30" t="s">
        <v>80</v>
      </c>
      <c r="AM30" t="s">
        <v>79</v>
      </c>
      <c r="AP30" t="str">
        <f>"MAINTENANCE &amp; REPAIR WORKERS"</f>
        <v>MAINTENANCE &amp; REPAIR WORKERS</v>
      </c>
      <c r="AQ30" t="str">
        <f>"49-9071.00"</f>
        <v>49-9071.00</v>
      </c>
      <c r="AR30" t="str">
        <f>"Maintenance and Repair Workers, General"</f>
        <v>Maintenance and Repair Workers, General</v>
      </c>
      <c r="AS30" t="str">
        <f>"N/A"</f>
        <v>N/A</v>
      </c>
      <c r="AT30" t="s">
        <v>79</v>
      </c>
      <c r="AU30" t="str">
        <f>""</f>
        <v/>
      </c>
      <c r="AV30" t="str">
        <f>""</f>
        <v/>
      </c>
      <c r="AW30" t="s">
        <v>79</v>
      </c>
      <c r="AX30" t="str">
        <f>""</f>
        <v/>
      </c>
      <c r="AY30" t="s">
        <v>84</v>
      </c>
      <c r="BA30" t="s">
        <v>80</v>
      </c>
      <c r="BB30" t="s">
        <v>79</v>
      </c>
      <c r="BD30" t="s">
        <v>82</v>
      </c>
      <c r="BE30">
        <v>6</v>
      </c>
      <c r="BF30" t="s">
        <v>1643</v>
      </c>
      <c r="BG30" t="s">
        <v>82</v>
      </c>
      <c r="BH30">
        <v>12</v>
      </c>
      <c r="BI30" t="s">
        <v>1644</v>
      </c>
      <c r="BJ30" s="2" t="s">
        <v>1645</v>
      </c>
      <c r="BK30" t="str">
        <f>"PMB 955 PO BOX 10000"</f>
        <v>PMB 955 PO BOX 10000</v>
      </c>
      <c r="BL30" t="str">
        <f>"ROOM 104 MARIANAS BUSINESS PLAZA NAURU LOOP SUSUPE"</f>
        <v>ROOM 104 MARIANAS BUSINESS PLAZA NAURU LOOP SUSUPE</v>
      </c>
      <c r="BM30" t="str">
        <f>"SAIPAN"</f>
        <v>SAIPAN</v>
      </c>
      <c r="BO30" t="s">
        <v>83</v>
      </c>
      <c r="BP30" s="4" t="str">
        <f t="shared" si="16"/>
        <v>96950</v>
      </c>
      <c r="BQ30" t="s">
        <v>79</v>
      </c>
      <c r="BR30" t="str">
        <f>"49-9071.00"</f>
        <v>49-9071.00</v>
      </c>
      <c r="BS30" t="s">
        <v>146</v>
      </c>
      <c r="BT30" s="3">
        <v>9.19</v>
      </c>
      <c r="BU30" t="s">
        <v>80</v>
      </c>
      <c r="BV30" t="s">
        <v>90</v>
      </c>
      <c r="BW30" t="s">
        <v>92</v>
      </c>
      <c r="BZ30" s="1">
        <v>45107</v>
      </c>
    </row>
    <row r="31" spans="1:78" ht="15" customHeight="1" x14ac:dyDescent="0.25">
      <c r="A31" t="s">
        <v>1646</v>
      </c>
      <c r="B31" t="s">
        <v>94</v>
      </c>
      <c r="C31" s="1">
        <v>44880</v>
      </c>
      <c r="D31" s="1">
        <v>44922</v>
      </c>
      <c r="H31" t="s">
        <v>78</v>
      </c>
      <c r="I31" t="str">
        <f>"GUILLO"</f>
        <v>GUILLO</v>
      </c>
      <c r="J31" t="str">
        <f>"EDEN"</f>
        <v>EDEN</v>
      </c>
      <c r="K31" t="str">
        <f>"FALLAR"</f>
        <v>FALLAR</v>
      </c>
      <c r="L31" t="str">
        <f>"GENERAL MANAGER"</f>
        <v>GENERAL MANAGER</v>
      </c>
      <c r="M31" t="str">
        <f>"PMB 955 PO BOX 10000"</f>
        <v>PMB 955 PO BOX 10000</v>
      </c>
      <c r="N31" t="str">
        <f>"ROOM 104 MARIANAS BUSINESS PLAZA NAURU LOOP SUSUPE"</f>
        <v>ROOM 104 MARIANAS BUSINESS PLAZA NAURU LOOP SUSUPE</v>
      </c>
      <c r="O31" t="str">
        <f t="shared" si="19"/>
        <v>SAIPAN</v>
      </c>
      <c r="P31" t="str">
        <f t="shared" si="11"/>
        <v>MP</v>
      </c>
      <c r="Q31" s="4" t="str">
        <f t="shared" si="12"/>
        <v>96950</v>
      </c>
      <c r="R31" t="str">
        <f t="shared" si="3"/>
        <v>UNITED STATES OF AMERICA</v>
      </c>
      <c r="S31" t="str">
        <f>""</f>
        <v/>
      </c>
      <c r="T31" s="5" t="str">
        <f>"16702352883"</f>
        <v>16702352883</v>
      </c>
      <c r="U31" t="str">
        <f>"0"</f>
        <v>0</v>
      </c>
      <c r="V31" s="5" t="str">
        <f>""</f>
        <v/>
      </c>
      <c r="W31" t="str">
        <f>"efg.pacific.holdings@gmail.com"</f>
        <v>efg.pacific.holdings@gmail.com</v>
      </c>
      <c r="X31" t="str">
        <f>"EFG PACIFIC HOLDINGS, LLC"</f>
        <v>EFG PACIFIC HOLDINGS, LLC</v>
      </c>
      <c r="Y31" t="str">
        <f>"ISLAND BEST CHOICE"</f>
        <v>ISLAND BEST CHOICE</v>
      </c>
      <c r="Z31" t="str">
        <f>"PMB 955 PO BOX 10000"</f>
        <v>PMB 955 PO BOX 10000</v>
      </c>
      <c r="AA31" t="str">
        <f>"ROOM 104 MARIANAS BUSINESS PLAZA NAURU LOOP SUSUPE"</f>
        <v>ROOM 104 MARIANAS BUSINESS PLAZA NAURU LOOP SUSUPE</v>
      </c>
      <c r="AB31" t="str">
        <f t="shared" si="20"/>
        <v>SAIPAN</v>
      </c>
      <c r="AC31" t="str">
        <f t="shared" si="4"/>
        <v>MP</v>
      </c>
      <c r="AD31" t="str">
        <f t="shared" si="14"/>
        <v>96950</v>
      </c>
      <c r="AE31" t="str">
        <f t="shared" si="6"/>
        <v>UNITED STATES OF AMERICA</v>
      </c>
      <c r="AF31" t="str">
        <f>""</f>
        <v/>
      </c>
      <c r="AG31" s="4" t="str">
        <f>"16702352883"</f>
        <v>16702352883</v>
      </c>
      <c r="AH31" t="str">
        <f>"0"</f>
        <v>0</v>
      </c>
      <c r="AI31" t="str">
        <f>"56132"</f>
        <v>56132</v>
      </c>
      <c r="AJ31" t="s">
        <v>79</v>
      </c>
      <c r="AK31" t="s">
        <v>79</v>
      </c>
      <c r="AL31" t="s">
        <v>80</v>
      </c>
      <c r="AM31" t="s">
        <v>79</v>
      </c>
      <c r="AP31" t="str">
        <f>"COMBINED FOOD PREPARATION AND SERVING WORKERS"</f>
        <v>COMBINED FOOD PREPARATION AND SERVING WORKERS</v>
      </c>
      <c r="AQ31" t="str">
        <f>"35-9099.00"</f>
        <v>35-9099.00</v>
      </c>
      <c r="AR31" t="str">
        <f>"Food Preparation and Serving Related Workers, All Other"</f>
        <v>Food Preparation and Serving Related Workers, All Other</v>
      </c>
      <c r="AS31" t="str">
        <f>"COMBINED FOOD PREPARATION AND SERVING WORKERS"</f>
        <v>COMBINED FOOD PREPARATION AND SERVING WORKERS</v>
      </c>
      <c r="AT31" t="s">
        <v>79</v>
      </c>
      <c r="AU31" t="str">
        <f>""</f>
        <v/>
      </c>
      <c r="AV31" t="str">
        <f>""</f>
        <v/>
      </c>
      <c r="AW31" t="s">
        <v>79</v>
      </c>
      <c r="AX31" t="str">
        <f>""</f>
        <v/>
      </c>
      <c r="AY31" t="s">
        <v>84</v>
      </c>
      <c r="BA31" t="s">
        <v>80</v>
      </c>
      <c r="BB31" t="s">
        <v>79</v>
      </c>
      <c r="BD31" t="s">
        <v>82</v>
      </c>
      <c r="BE31">
        <v>3</v>
      </c>
      <c r="BF31" t="s">
        <v>479</v>
      </c>
      <c r="BG31" t="s">
        <v>82</v>
      </c>
      <c r="BH31">
        <v>3</v>
      </c>
      <c r="BI31" t="s">
        <v>1647</v>
      </c>
      <c r="BJ31" t="s">
        <v>1648</v>
      </c>
      <c r="BK31" t="str">
        <f>"PMB 955 PO BOX 10000"</f>
        <v>PMB 955 PO BOX 10000</v>
      </c>
      <c r="BL31" t="str">
        <f>"ROOM 104 MARIANAS BUSINESS PLAZA NAURU LOOP SUSUPE"</f>
        <v>ROOM 104 MARIANAS BUSINESS PLAZA NAURU LOOP SUSUPE</v>
      </c>
      <c r="BM31" t="str">
        <f>"SAIPAN"</f>
        <v>SAIPAN</v>
      </c>
      <c r="BO31" t="s">
        <v>83</v>
      </c>
      <c r="BP31" s="4" t="str">
        <f t="shared" si="16"/>
        <v>96950</v>
      </c>
      <c r="BQ31" t="s">
        <v>79</v>
      </c>
      <c r="BR31" t="str">
        <f>"35-3023.00"</f>
        <v>35-3023.00</v>
      </c>
      <c r="BS31" t="s">
        <v>105</v>
      </c>
      <c r="BT31" s="3">
        <v>7.92</v>
      </c>
      <c r="BU31" t="s">
        <v>80</v>
      </c>
      <c r="BV31" t="s">
        <v>90</v>
      </c>
      <c r="BW31" t="s">
        <v>92</v>
      </c>
      <c r="BZ31" s="1">
        <v>45107</v>
      </c>
    </row>
    <row r="32" spans="1:78" ht="15" customHeight="1" x14ac:dyDescent="0.25">
      <c r="A32" t="s">
        <v>1649</v>
      </c>
      <c r="B32" t="s">
        <v>94</v>
      </c>
      <c r="C32" s="1">
        <v>44880</v>
      </c>
      <c r="D32" s="1">
        <v>44922</v>
      </c>
      <c r="H32" t="s">
        <v>78</v>
      </c>
      <c r="I32" t="str">
        <f>"GUILLO"</f>
        <v>GUILLO</v>
      </c>
      <c r="J32" t="str">
        <f>"EDEN"</f>
        <v>EDEN</v>
      </c>
      <c r="K32" t="str">
        <f>"FALLAR"</f>
        <v>FALLAR</v>
      </c>
      <c r="L32" t="str">
        <f>"GENERAL MANAGER"</f>
        <v>GENERAL MANAGER</v>
      </c>
      <c r="M32" t="str">
        <f>"PMB 955 PO BOX 10000"</f>
        <v>PMB 955 PO BOX 10000</v>
      </c>
      <c r="N32" t="str">
        <f>"ROOM 104 MARIANAS BUSINESS PLAZA NAURU LOOP SUSUPE"</f>
        <v>ROOM 104 MARIANAS BUSINESS PLAZA NAURU LOOP SUSUPE</v>
      </c>
      <c r="O32" t="str">
        <f t="shared" si="19"/>
        <v>SAIPAN</v>
      </c>
      <c r="P32" t="str">
        <f t="shared" si="11"/>
        <v>MP</v>
      </c>
      <c r="Q32" s="4" t="str">
        <f t="shared" si="12"/>
        <v>96950</v>
      </c>
      <c r="R32" t="str">
        <f t="shared" si="3"/>
        <v>UNITED STATES OF AMERICA</v>
      </c>
      <c r="S32" t="str">
        <f>""</f>
        <v/>
      </c>
      <c r="T32" s="5" t="str">
        <f>"16702352883"</f>
        <v>16702352883</v>
      </c>
      <c r="U32" t="str">
        <f>"0"</f>
        <v>0</v>
      </c>
      <c r="V32" s="5" t="str">
        <f>""</f>
        <v/>
      </c>
      <c r="W32" t="str">
        <f>"efg.pacific.holdings@gmail.com"</f>
        <v>efg.pacific.holdings@gmail.com</v>
      </c>
      <c r="X32" t="str">
        <f>"EFG PACIFIC HOLDINGS, LLC"</f>
        <v>EFG PACIFIC HOLDINGS, LLC</v>
      </c>
      <c r="Y32" t="str">
        <f>"ISLAND BEST CHOICE"</f>
        <v>ISLAND BEST CHOICE</v>
      </c>
      <c r="Z32" t="str">
        <f>"PMB 955 PO BOX 10000"</f>
        <v>PMB 955 PO BOX 10000</v>
      </c>
      <c r="AA32" t="str">
        <f>"ROOM 104 MARIANAS BUSINESS PLAZA NAURU LOOP SUSUPE"</f>
        <v>ROOM 104 MARIANAS BUSINESS PLAZA NAURU LOOP SUSUPE</v>
      </c>
      <c r="AB32" t="str">
        <f t="shared" si="20"/>
        <v>SAIPAN</v>
      </c>
      <c r="AC32" t="str">
        <f t="shared" si="4"/>
        <v>MP</v>
      </c>
      <c r="AD32" t="str">
        <f t="shared" si="14"/>
        <v>96950</v>
      </c>
      <c r="AE32" t="str">
        <f t="shared" si="6"/>
        <v>UNITED STATES OF AMERICA</v>
      </c>
      <c r="AF32" t="str">
        <f>""</f>
        <v/>
      </c>
      <c r="AG32" s="4" t="str">
        <f>"16702352883"</f>
        <v>16702352883</v>
      </c>
      <c r="AH32" t="str">
        <f>"0"</f>
        <v>0</v>
      </c>
      <c r="AI32" t="str">
        <f>"56132"</f>
        <v>56132</v>
      </c>
      <c r="AJ32" t="s">
        <v>79</v>
      </c>
      <c r="AK32" t="s">
        <v>79</v>
      </c>
      <c r="AL32" t="s">
        <v>80</v>
      </c>
      <c r="AM32" t="s">
        <v>79</v>
      </c>
      <c r="AP32" t="str">
        <f>"STOCK CLERKS, SALES FLOOR"</f>
        <v>STOCK CLERKS, SALES FLOOR</v>
      </c>
      <c r="AQ32" t="str">
        <f>""</f>
        <v/>
      </c>
      <c r="AR32" t="str">
        <f>""</f>
        <v/>
      </c>
      <c r="AS32" t="str">
        <f>"STOCK CLERKS, SALES FLOOR"</f>
        <v>STOCK CLERKS, SALES FLOOR</v>
      </c>
      <c r="AT32" t="s">
        <v>79</v>
      </c>
      <c r="AU32" t="str">
        <f>""</f>
        <v/>
      </c>
      <c r="AV32" t="str">
        <f>""</f>
        <v/>
      </c>
      <c r="AW32" t="s">
        <v>79</v>
      </c>
      <c r="AX32" t="str">
        <f>""</f>
        <v/>
      </c>
      <c r="AY32" t="s">
        <v>84</v>
      </c>
      <c r="BA32" t="s">
        <v>80</v>
      </c>
      <c r="BB32" t="s">
        <v>79</v>
      </c>
      <c r="BD32" t="s">
        <v>82</v>
      </c>
      <c r="BE32">
        <v>3</v>
      </c>
      <c r="BF32" t="s">
        <v>479</v>
      </c>
      <c r="BG32" t="s">
        <v>82</v>
      </c>
      <c r="BH32">
        <v>3</v>
      </c>
      <c r="BI32" t="s">
        <v>1650</v>
      </c>
      <c r="BJ32" s="2" t="s">
        <v>1651</v>
      </c>
      <c r="BK32" t="str">
        <f>"PMB 955 PO BOX 10000"</f>
        <v>PMB 955 PO BOX 10000</v>
      </c>
      <c r="BL32" t="str">
        <f>"ROOM 104 MARIANAS BUSINESS PLAZA NAURU LOOP SUSUPE"</f>
        <v>ROOM 104 MARIANAS BUSINESS PLAZA NAURU LOOP SUSUPE</v>
      </c>
      <c r="BM32" t="str">
        <f>"SAIPAN"</f>
        <v>SAIPAN</v>
      </c>
      <c r="BO32" t="s">
        <v>83</v>
      </c>
      <c r="BP32" s="4" t="str">
        <f t="shared" si="16"/>
        <v>96950</v>
      </c>
      <c r="BQ32" t="s">
        <v>79</v>
      </c>
      <c r="BR32" t="str">
        <f>"53-7065.00"</f>
        <v>53-7065.00</v>
      </c>
      <c r="BS32" t="s">
        <v>342</v>
      </c>
      <c r="BT32" s="3">
        <v>7.97</v>
      </c>
      <c r="BU32" t="s">
        <v>80</v>
      </c>
      <c r="BV32" t="s">
        <v>90</v>
      </c>
      <c r="BW32" t="s">
        <v>92</v>
      </c>
      <c r="BZ32" s="1">
        <v>45107</v>
      </c>
    </row>
    <row r="33" spans="1:78" ht="15" customHeight="1" x14ac:dyDescent="0.25">
      <c r="A33" t="s">
        <v>1652</v>
      </c>
      <c r="B33" t="s">
        <v>94</v>
      </c>
      <c r="C33" s="1">
        <v>44880</v>
      </c>
      <c r="D33" s="1">
        <v>44922</v>
      </c>
      <c r="H33" t="s">
        <v>78</v>
      </c>
      <c r="I33" t="str">
        <f>"FALLER"</f>
        <v>FALLER</v>
      </c>
      <c r="J33" t="str">
        <f>"JOJO"</f>
        <v>JOJO</v>
      </c>
      <c r="K33" t="str">
        <f>"M"</f>
        <v>M</v>
      </c>
      <c r="L33" t="str">
        <f>"VICE PRESIDENT"</f>
        <v>VICE PRESIDENT</v>
      </c>
      <c r="M33" t="str">
        <f>"PMB 314 PPP BOX 10000"</f>
        <v>PMB 314 PPP BOX 10000</v>
      </c>
      <c r="N33" t="str">
        <f>""</f>
        <v/>
      </c>
      <c r="O33" t="str">
        <f t="shared" si="19"/>
        <v>SAIPAN</v>
      </c>
      <c r="P33" t="str">
        <f t="shared" si="11"/>
        <v>MP</v>
      </c>
      <c r="Q33" s="4" t="str">
        <f t="shared" si="12"/>
        <v>96950</v>
      </c>
      <c r="R33" t="str">
        <f t="shared" si="3"/>
        <v>UNITED STATES OF AMERICA</v>
      </c>
      <c r="S33" t="str">
        <f>""</f>
        <v/>
      </c>
      <c r="T33" s="5" t="str">
        <f>"16704831971"</f>
        <v>16704831971</v>
      </c>
      <c r="U33" t="str">
        <f>""</f>
        <v/>
      </c>
      <c r="V33" s="5" t="str">
        <f>""</f>
        <v/>
      </c>
      <c r="W33" t="str">
        <f>"jojomfaller@yahoo.com"</f>
        <v>jojomfaller@yahoo.com</v>
      </c>
      <c r="X33" t="str">
        <f>"POLARIS DEVELOPMENT CORPORATION"</f>
        <v>POLARIS DEVELOPMENT CORPORATION</v>
      </c>
      <c r="Y33" t="str">
        <f>""</f>
        <v/>
      </c>
      <c r="Z33" t="str">
        <f>"PMB 314 PPP BOX 10000"</f>
        <v>PMB 314 PPP BOX 10000</v>
      </c>
      <c r="AA33" t="str">
        <f>""</f>
        <v/>
      </c>
      <c r="AB33" t="str">
        <f t="shared" si="20"/>
        <v>SAIPAN</v>
      </c>
      <c r="AC33" t="str">
        <f t="shared" si="4"/>
        <v>MP</v>
      </c>
      <c r="AD33" t="str">
        <f t="shared" si="14"/>
        <v>96950</v>
      </c>
      <c r="AE33" t="str">
        <f t="shared" si="6"/>
        <v>UNITED STATES OF AMERICA</v>
      </c>
      <c r="AF33" t="str">
        <f>""</f>
        <v/>
      </c>
      <c r="AG33" s="4" t="str">
        <f>"16704831971"</f>
        <v>16704831971</v>
      </c>
      <c r="AH33" t="str">
        <f>""</f>
        <v/>
      </c>
      <c r="AI33" t="str">
        <f>"531110"</f>
        <v>531110</v>
      </c>
      <c r="AJ33" t="s">
        <v>79</v>
      </c>
      <c r="AK33" t="s">
        <v>79</v>
      </c>
      <c r="AL33" t="s">
        <v>80</v>
      </c>
      <c r="AM33" t="s">
        <v>79</v>
      </c>
      <c r="AP33" t="str">
        <f>"Maids and Housekeeping Cleaners"</f>
        <v>Maids and Housekeeping Cleaners</v>
      </c>
      <c r="AQ33" t="str">
        <f>"37-2012.00"</f>
        <v>37-2012.00</v>
      </c>
      <c r="AR33" t="str">
        <f>"Maids and Housekeeping Cleaners"</f>
        <v>Maids and Housekeeping Cleaners</v>
      </c>
      <c r="AS33" t="str">
        <f>"N/A"</f>
        <v>N/A</v>
      </c>
      <c r="AT33" t="s">
        <v>79</v>
      </c>
      <c r="AU33" t="str">
        <f>""</f>
        <v/>
      </c>
      <c r="AV33" t="str">
        <f>""</f>
        <v/>
      </c>
      <c r="AW33" t="s">
        <v>79</v>
      </c>
      <c r="AX33" t="str">
        <f>""</f>
        <v/>
      </c>
      <c r="AY33" t="s">
        <v>84</v>
      </c>
      <c r="BA33" t="s">
        <v>119</v>
      </c>
      <c r="BB33" t="s">
        <v>79</v>
      </c>
      <c r="BD33" t="s">
        <v>79</v>
      </c>
      <c r="BG33" t="s">
        <v>82</v>
      </c>
      <c r="BH33">
        <v>6</v>
      </c>
      <c r="BI33" t="s">
        <v>1653</v>
      </c>
      <c r="BJ33" s="2" t="s">
        <v>1654</v>
      </c>
      <c r="BK33" t="str">
        <f>"Quartermaster Road, Chalan laulau Village"</f>
        <v>Quartermaster Road, Chalan laulau Village</v>
      </c>
      <c r="BL33" t="str">
        <f>""</f>
        <v/>
      </c>
      <c r="BM33" t="str">
        <f>"Saipan"</f>
        <v>Saipan</v>
      </c>
      <c r="BO33" t="s">
        <v>83</v>
      </c>
      <c r="BP33" s="4" t="str">
        <f t="shared" si="16"/>
        <v>96950</v>
      </c>
      <c r="BQ33" t="s">
        <v>79</v>
      </c>
      <c r="BR33" t="str">
        <f>"37-2012.00"</f>
        <v>37-2012.00</v>
      </c>
      <c r="BS33" t="s">
        <v>109</v>
      </c>
      <c r="BT33" s="3">
        <v>7.56</v>
      </c>
      <c r="BU33" t="s">
        <v>80</v>
      </c>
      <c r="BV33" t="s">
        <v>90</v>
      </c>
      <c r="BW33" t="s">
        <v>92</v>
      </c>
      <c r="BZ33" s="1">
        <v>45107</v>
      </c>
    </row>
    <row r="34" spans="1:78" ht="15" customHeight="1" x14ac:dyDescent="0.25">
      <c r="A34" t="s">
        <v>1655</v>
      </c>
      <c r="B34" t="s">
        <v>94</v>
      </c>
      <c r="C34" s="1">
        <v>44880</v>
      </c>
      <c r="D34" s="1">
        <v>44922</v>
      </c>
      <c r="H34" t="s">
        <v>78</v>
      </c>
      <c r="I34" t="str">
        <f>"FALLER"</f>
        <v>FALLER</v>
      </c>
      <c r="J34" t="str">
        <f>"JOJO"</f>
        <v>JOJO</v>
      </c>
      <c r="K34" t="str">
        <f>"M"</f>
        <v>M</v>
      </c>
      <c r="L34" t="str">
        <f>"VICE PRESIDENT"</f>
        <v>VICE PRESIDENT</v>
      </c>
      <c r="M34" t="str">
        <f>"PMB 314 PPP BOX 10000"</f>
        <v>PMB 314 PPP BOX 10000</v>
      </c>
      <c r="N34" t="str">
        <f>""</f>
        <v/>
      </c>
      <c r="O34" t="str">
        <f t="shared" si="19"/>
        <v>SAIPAN</v>
      </c>
      <c r="P34" t="str">
        <f t="shared" si="11"/>
        <v>MP</v>
      </c>
      <c r="Q34" s="4" t="str">
        <f t="shared" si="12"/>
        <v>96950</v>
      </c>
      <c r="R34" t="str">
        <f t="shared" si="3"/>
        <v>UNITED STATES OF AMERICA</v>
      </c>
      <c r="S34" t="str">
        <f>""</f>
        <v/>
      </c>
      <c r="T34" s="5" t="str">
        <f>"16704831971"</f>
        <v>16704831971</v>
      </c>
      <c r="U34" t="str">
        <f>""</f>
        <v/>
      </c>
      <c r="V34" s="5" t="str">
        <f>""</f>
        <v/>
      </c>
      <c r="W34" t="str">
        <f>"jojomfaller@yahoo.com"</f>
        <v>jojomfaller@yahoo.com</v>
      </c>
      <c r="X34" t="str">
        <f>"POLARIS DEVELOPMENT CORPORATION"</f>
        <v>POLARIS DEVELOPMENT CORPORATION</v>
      </c>
      <c r="Y34" t="str">
        <f>""</f>
        <v/>
      </c>
      <c r="Z34" t="str">
        <f>"PMB 314 PPP BOX 10000"</f>
        <v>PMB 314 PPP BOX 10000</v>
      </c>
      <c r="AA34" t="str">
        <f>""</f>
        <v/>
      </c>
      <c r="AB34" t="str">
        <f t="shared" si="20"/>
        <v>SAIPAN</v>
      </c>
      <c r="AC34" t="str">
        <f t="shared" si="4"/>
        <v>MP</v>
      </c>
      <c r="AD34" t="str">
        <f t="shared" si="14"/>
        <v>96950</v>
      </c>
      <c r="AE34" t="str">
        <f t="shared" si="6"/>
        <v>UNITED STATES OF AMERICA</v>
      </c>
      <c r="AF34" t="str">
        <f>""</f>
        <v/>
      </c>
      <c r="AG34" s="4" t="str">
        <f>"16704831971"</f>
        <v>16704831971</v>
      </c>
      <c r="AH34" t="str">
        <f>""</f>
        <v/>
      </c>
      <c r="AI34" t="str">
        <f>"531110"</f>
        <v>531110</v>
      </c>
      <c r="AJ34" t="s">
        <v>79</v>
      </c>
      <c r="AK34" t="s">
        <v>79</v>
      </c>
      <c r="AL34" t="s">
        <v>80</v>
      </c>
      <c r="AM34" t="s">
        <v>79</v>
      </c>
      <c r="AP34" t="str">
        <f>"Maintenance and Repair Workers, General"</f>
        <v>Maintenance and Repair Workers, General</v>
      </c>
      <c r="AQ34" t="str">
        <f>"49-9071.00"</f>
        <v>49-9071.00</v>
      </c>
      <c r="AR34" t="str">
        <f>"Maintenance and Repair Workers, General"</f>
        <v>Maintenance and Repair Workers, General</v>
      </c>
      <c r="AS34" t="str">
        <f>"N/A"</f>
        <v>N/A</v>
      </c>
      <c r="AT34" t="s">
        <v>79</v>
      </c>
      <c r="AU34" t="str">
        <f>""</f>
        <v/>
      </c>
      <c r="AV34" t="str">
        <f>""</f>
        <v/>
      </c>
      <c r="AW34" t="s">
        <v>79</v>
      </c>
      <c r="AX34" t="str">
        <f>""</f>
        <v/>
      </c>
      <c r="AY34" t="s">
        <v>84</v>
      </c>
      <c r="BA34" t="s">
        <v>80</v>
      </c>
      <c r="BB34" t="s">
        <v>79</v>
      </c>
      <c r="BD34" t="s">
        <v>79</v>
      </c>
      <c r="BG34" t="s">
        <v>82</v>
      </c>
      <c r="BH34">
        <v>12</v>
      </c>
      <c r="BI34" t="s">
        <v>1656</v>
      </c>
      <c r="BJ34" s="2" t="s">
        <v>1657</v>
      </c>
      <c r="BK34" t="str">
        <f>"QUARTER MASTER TOAD, CHALAN LAULAU VILLAGE"</f>
        <v>QUARTER MASTER TOAD, CHALAN LAULAU VILLAGE</v>
      </c>
      <c r="BL34" t="str">
        <f>""</f>
        <v/>
      </c>
      <c r="BM34" t="str">
        <f>"SAIPAN"</f>
        <v>SAIPAN</v>
      </c>
      <c r="BO34" t="s">
        <v>83</v>
      </c>
      <c r="BP34" s="4" t="str">
        <f t="shared" si="16"/>
        <v>96950</v>
      </c>
      <c r="BQ34" t="s">
        <v>79</v>
      </c>
      <c r="BR34" t="str">
        <f>"49-9071.00"</f>
        <v>49-9071.00</v>
      </c>
      <c r="BS34" t="s">
        <v>146</v>
      </c>
      <c r="BT34" s="3">
        <v>9.19</v>
      </c>
      <c r="BU34" t="s">
        <v>80</v>
      </c>
      <c r="BV34" t="s">
        <v>90</v>
      </c>
      <c r="BW34" t="s">
        <v>92</v>
      </c>
      <c r="BZ34" s="1">
        <v>45107</v>
      </c>
    </row>
    <row r="35" spans="1:78" ht="15" customHeight="1" x14ac:dyDescent="0.25">
      <c r="A35" t="s">
        <v>1658</v>
      </c>
      <c r="B35" t="s">
        <v>94</v>
      </c>
      <c r="C35" s="1">
        <v>44880</v>
      </c>
      <c r="D35" s="1">
        <v>44922</v>
      </c>
      <c r="H35" t="s">
        <v>78</v>
      </c>
      <c r="I35" t="str">
        <f>"Jardinero"</f>
        <v>Jardinero</v>
      </c>
      <c r="J35" t="str">
        <f>"Maria Luisa"</f>
        <v>Maria Luisa</v>
      </c>
      <c r="K35" t="str">
        <f>"Jardinero"</f>
        <v>Jardinero</v>
      </c>
      <c r="L35" t="str">
        <f>"Human Resources Officer"</f>
        <v>Human Resources Officer</v>
      </c>
      <c r="M35" t="str">
        <f>"POI Building"</f>
        <v>POI Building</v>
      </c>
      <c r="N35" t="str">
        <f>"Northwest Loop, I Fadang"</f>
        <v>Northwest Loop, I Fadang</v>
      </c>
      <c r="O35" t="str">
        <f>"Saipan"</f>
        <v>Saipan</v>
      </c>
      <c r="P35" t="str">
        <f t="shared" si="11"/>
        <v>MP</v>
      </c>
      <c r="Q35" s="4" t="str">
        <f t="shared" si="12"/>
        <v>96950</v>
      </c>
      <c r="R35" t="str">
        <f t="shared" si="3"/>
        <v>UNITED STATES OF AMERICA</v>
      </c>
      <c r="S35" t="str">
        <f>""</f>
        <v/>
      </c>
      <c r="T35" s="5" t="str">
        <f>"16702880360"</f>
        <v>16702880360</v>
      </c>
      <c r="U35" t="str">
        <f>"104"</f>
        <v>104</v>
      </c>
      <c r="V35" s="5" t="str">
        <f>""</f>
        <v/>
      </c>
      <c r="W35" t="str">
        <f>"malou_jardinero@tanholdings.com"</f>
        <v>malou_jardinero@tanholdings.com</v>
      </c>
      <c r="X35" t="str">
        <f>"PACIFIC ORIENTAL INC."</f>
        <v>PACIFIC ORIENTAL INC.</v>
      </c>
      <c r="Y35" t="str">
        <f>"POI AVIATION"</f>
        <v>POI AVIATION</v>
      </c>
      <c r="Z35" t="str">
        <f>"POI Building"</f>
        <v>POI Building</v>
      </c>
      <c r="AA35" t="str">
        <f>"Northwest Loop, I Fadang"</f>
        <v>Northwest Loop, I Fadang</v>
      </c>
      <c r="AB35" t="str">
        <f>"Saipan"</f>
        <v>Saipan</v>
      </c>
      <c r="AC35" t="str">
        <f t="shared" si="4"/>
        <v>MP</v>
      </c>
      <c r="AD35" t="str">
        <f t="shared" si="14"/>
        <v>96950</v>
      </c>
      <c r="AE35" t="str">
        <f t="shared" si="6"/>
        <v>UNITED STATES OF AMERICA</v>
      </c>
      <c r="AF35" t="str">
        <f>""</f>
        <v/>
      </c>
      <c r="AG35" s="4" t="str">
        <f>"16702880360"</f>
        <v>16702880360</v>
      </c>
      <c r="AH35" t="str">
        <f>""</f>
        <v/>
      </c>
      <c r="AI35" t="str">
        <f>"48819"</f>
        <v>48819</v>
      </c>
      <c r="AJ35" t="s">
        <v>79</v>
      </c>
      <c r="AK35" t="s">
        <v>79</v>
      </c>
      <c r="AL35" t="s">
        <v>80</v>
      </c>
      <c r="AM35" t="s">
        <v>79</v>
      </c>
      <c r="AP35" t="str">
        <f>"ACCOUNTANT"</f>
        <v>ACCOUNTANT</v>
      </c>
      <c r="AQ35" t="str">
        <f>"13-2011.00"</f>
        <v>13-2011.00</v>
      </c>
      <c r="AR35" t="str">
        <f>"Accountants and Auditors"</f>
        <v>Accountants and Auditors</v>
      </c>
      <c r="AS35" t="str">
        <f>"ACCOUNTING MANAGER"</f>
        <v>ACCOUNTING MANAGER</v>
      </c>
      <c r="AT35" t="s">
        <v>79</v>
      </c>
      <c r="AU35" t="str">
        <f>""</f>
        <v/>
      </c>
      <c r="AV35" t="str">
        <f>""</f>
        <v/>
      </c>
      <c r="AW35" t="s">
        <v>79</v>
      </c>
      <c r="AX35" t="str">
        <f>""</f>
        <v/>
      </c>
      <c r="AY35" t="s">
        <v>95</v>
      </c>
      <c r="BA35" t="s">
        <v>1659</v>
      </c>
      <c r="BB35" t="s">
        <v>79</v>
      </c>
      <c r="BD35" t="s">
        <v>79</v>
      </c>
      <c r="BG35" t="s">
        <v>82</v>
      </c>
      <c r="BH35">
        <v>24</v>
      </c>
      <c r="BI35" t="s">
        <v>131</v>
      </c>
      <c r="BJ35" t="s">
        <v>1660</v>
      </c>
      <c r="BK35" t="str">
        <f>"POI Building"</f>
        <v>POI Building</v>
      </c>
      <c r="BL35" t="str">
        <f>"Northwest Loop, I Fadang"</f>
        <v>Northwest Loop, I Fadang</v>
      </c>
      <c r="BM35" t="str">
        <f>"Saipan"</f>
        <v>Saipan</v>
      </c>
      <c r="BO35" t="s">
        <v>83</v>
      </c>
      <c r="BP35" s="4" t="str">
        <f t="shared" si="16"/>
        <v>96950</v>
      </c>
      <c r="BQ35" t="s">
        <v>79</v>
      </c>
      <c r="BR35" t="str">
        <f>"13-2011.00"</f>
        <v>13-2011.00</v>
      </c>
      <c r="BS35" t="s">
        <v>133</v>
      </c>
      <c r="BT35" s="3">
        <v>16.190000000000001</v>
      </c>
      <c r="BU35" t="s">
        <v>80</v>
      </c>
      <c r="BV35" t="s">
        <v>90</v>
      </c>
      <c r="BW35" t="s">
        <v>92</v>
      </c>
      <c r="BZ35" s="1">
        <v>45107</v>
      </c>
    </row>
    <row r="36" spans="1:78" ht="15" customHeight="1" x14ac:dyDescent="0.25">
      <c r="A36" t="s">
        <v>1627</v>
      </c>
      <c r="B36" t="s">
        <v>94</v>
      </c>
      <c r="C36" s="1">
        <v>44879</v>
      </c>
      <c r="D36" s="1">
        <v>44922</v>
      </c>
      <c r="H36" t="s">
        <v>78</v>
      </c>
      <c r="I36" t="str">
        <f>"Qian"</f>
        <v>Qian</v>
      </c>
      <c r="J36" t="str">
        <f>"Guocao"</f>
        <v>Guocao</v>
      </c>
      <c r="K36" t="str">
        <f>""</f>
        <v/>
      </c>
      <c r="L36" t="str">
        <f>"President"</f>
        <v>President</v>
      </c>
      <c r="M36" t="str">
        <f>"Bayogo Lane"</f>
        <v>Bayogo Lane</v>
      </c>
      <c r="N36" t="str">
        <f>"PMB 1372 Box 10003 Saipan"</f>
        <v>PMB 1372 Box 10003 Saipan</v>
      </c>
      <c r="O36" t="str">
        <f>"Gualo Rai "</f>
        <v xml:space="preserve">Gualo Rai </v>
      </c>
      <c r="P36" t="str">
        <f t="shared" si="11"/>
        <v>MP</v>
      </c>
      <c r="Q36" s="4" t="str">
        <f t="shared" si="12"/>
        <v>96950</v>
      </c>
      <c r="R36" t="str">
        <f t="shared" si="3"/>
        <v>UNITED STATES OF AMERICA</v>
      </c>
      <c r="S36" t="str">
        <f>""</f>
        <v/>
      </c>
      <c r="T36" s="5" t="str">
        <f>"16702345828"</f>
        <v>16702345828</v>
      </c>
      <c r="U36" t="str">
        <f>""</f>
        <v/>
      </c>
      <c r="V36" s="5" t="str">
        <f>""</f>
        <v/>
      </c>
      <c r="W36" t="str">
        <f>"usafanter.operations@gmail.com"</f>
        <v>usafanter.operations@gmail.com</v>
      </c>
      <c r="X36" t="str">
        <f>"USA Fanter Corporation Ltd"</f>
        <v>USA Fanter Corporation Ltd</v>
      </c>
      <c r="Y36" t="str">
        <f>""</f>
        <v/>
      </c>
      <c r="Z36" t="str">
        <f>"Bayogo Lane"</f>
        <v>Bayogo Lane</v>
      </c>
      <c r="AA36" t="str">
        <f>"PMB 1372 Box 10003 Saipan"</f>
        <v>PMB 1372 Box 10003 Saipan</v>
      </c>
      <c r="AB36" t="str">
        <f>"Gualo Rai"</f>
        <v>Gualo Rai</v>
      </c>
      <c r="AC36" t="str">
        <f t="shared" si="4"/>
        <v>MP</v>
      </c>
      <c r="AD36" t="str">
        <f t="shared" si="14"/>
        <v>96950</v>
      </c>
      <c r="AE36" t="str">
        <f t="shared" si="6"/>
        <v>UNITED STATES OF AMERICA</v>
      </c>
      <c r="AF36" t="str">
        <f>""</f>
        <v/>
      </c>
      <c r="AG36" s="4" t="str">
        <f>"16702345828"</f>
        <v>16702345828</v>
      </c>
      <c r="AH36" t="str">
        <f>""</f>
        <v/>
      </c>
      <c r="AI36" t="str">
        <f>"2389"</f>
        <v>2389</v>
      </c>
      <c r="AJ36" t="s">
        <v>79</v>
      </c>
      <c r="AK36" t="s">
        <v>79</v>
      </c>
      <c r="AL36" t="s">
        <v>80</v>
      </c>
      <c r="AM36" t="s">
        <v>79</v>
      </c>
      <c r="AP36" t="str">
        <f>"Auto Service Technicians and Mechanics"</f>
        <v>Auto Service Technicians and Mechanics</v>
      </c>
      <c r="AQ36" t="str">
        <f>"49-3023.00"</f>
        <v>49-3023.00</v>
      </c>
      <c r="AR36" t="str">
        <f>"Automotive Service Technicians and Mechanics"</f>
        <v>Automotive Service Technicians and Mechanics</v>
      </c>
      <c r="AS36" t="str">
        <f>"President"</f>
        <v>President</v>
      </c>
      <c r="AT36" t="s">
        <v>79</v>
      </c>
      <c r="AU36" t="str">
        <f>""</f>
        <v/>
      </c>
      <c r="AV36" t="str">
        <f>""</f>
        <v/>
      </c>
      <c r="AW36" t="s">
        <v>79</v>
      </c>
      <c r="AX36" t="str">
        <f>""</f>
        <v/>
      </c>
      <c r="AY36" t="s">
        <v>84</v>
      </c>
      <c r="BA36" t="s">
        <v>119</v>
      </c>
      <c r="BB36" t="s">
        <v>79</v>
      </c>
      <c r="BD36" t="s">
        <v>79</v>
      </c>
      <c r="BG36" t="s">
        <v>82</v>
      </c>
      <c r="BH36">
        <v>24</v>
      </c>
      <c r="BI36" t="s">
        <v>1628</v>
      </c>
      <c r="BJ36" t="s">
        <v>161</v>
      </c>
      <c r="BK36" t="str">
        <f>"Bayogo Lane"</f>
        <v>Bayogo Lane</v>
      </c>
      <c r="BL36" t="str">
        <f>"PMB 1372 Box 10003 Saipan"</f>
        <v>PMB 1372 Box 10003 Saipan</v>
      </c>
      <c r="BM36" t="str">
        <f>"Gualo Rai"</f>
        <v>Gualo Rai</v>
      </c>
      <c r="BO36" t="s">
        <v>83</v>
      </c>
      <c r="BP36" s="4" t="str">
        <f t="shared" si="16"/>
        <v>96950</v>
      </c>
      <c r="BQ36" t="s">
        <v>79</v>
      </c>
      <c r="BR36" t="str">
        <f>"49-3023.00"</f>
        <v>49-3023.00</v>
      </c>
      <c r="BS36" t="s">
        <v>269</v>
      </c>
      <c r="BT36" s="3">
        <v>9.93</v>
      </c>
      <c r="BU36" t="s">
        <v>80</v>
      </c>
      <c r="BV36" t="s">
        <v>90</v>
      </c>
      <c r="BW36" t="s">
        <v>92</v>
      </c>
      <c r="BZ36" s="1">
        <v>45107</v>
      </c>
    </row>
    <row r="37" spans="1:78" ht="15" customHeight="1" x14ac:dyDescent="0.25">
      <c r="A37" t="s">
        <v>1629</v>
      </c>
      <c r="B37" t="s">
        <v>94</v>
      </c>
      <c r="C37" s="1">
        <v>44879</v>
      </c>
      <c r="D37" s="1">
        <v>44922</v>
      </c>
      <c r="H37" t="s">
        <v>78</v>
      </c>
      <c r="I37" t="str">
        <f>"Qian"</f>
        <v>Qian</v>
      </c>
      <c r="J37" t="str">
        <f>"Guocao"</f>
        <v>Guocao</v>
      </c>
      <c r="K37" t="str">
        <f>""</f>
        <v/>
      </c>
      <c r="L37" t="str">
        <f>"President"</f>
        <v>President</v>
      </c>
      <c r="M37" t="str">
        <f>"Bayogo Lane"</f>
        <v>Bayogo Lane</v>
      </c>
      <c r="N37" t="str">
        <f>"PMB 1372 Box 10003 Saipan"</f>
        <v>PMB 1372 Box 10003 Saipan</v>
      </c>
      <c r="O37" t="str">
        <f>"Gualo Rai"</f>
        <v>Gualo Rai</v>
      </c>
      <c r="P37" t="str">
        <f t="shared" si="11"/>
        <v>MP</v>
      </c>
      <c r="Q37" s="4" t="str">
        <f t="shared" si="12"/>
        <v>96950</v>
      </c>
      <c r="R37" t="str">
        <f t="shared" si="3"/>
        <v>UNITED STATES OF AMERICA</v>
      </c>
      <c r="S37" t="str">
        <f>""</f>
        <v/>
      </c>
      <c r="T37" s="5" t="str">
        <f>"16702345828"</f>
        <v>16702345828</v>
      </c>
      <c r="U37" t="str">
        <f>""</f>
        <v/>
      </c>
      <c r="V37" s="5" t="str">
        <f>""</f>
        <v/>
      </c>
      <c r="W37" t="str">
        <f>"usafanter.operations@gmail.com"</f>
        <v>usafanter.operations@gmail.com</v>
      </c>
      <c r="X37" t="str">
        <f>"USA Fanter Corporation Ltd"</f>
        <v>USA Fanter Corporation Ltd</v>
      </c>
      <c r="Y37" t="str">
        <f>""</f>
        <v/>
      </c>
      <c r="Z37" t="str">
        <f>"Bayogo Lane"</f>
        <v>Bayogo Lane</v>
      </c>
      <c r="AA37" t="str">
        <f>"PMB 1372 Box 10003 Saipan"</f>
        <v>PMB 1372 Box 10003 Saipan</v>
      </c>
      <c r="AB37" t="str">
        <f>"Gualo Rai"</f>
        <v>Gualo Rai</v>
      </c>
      <c r="AC37" t="str">
        <f t="shared" si="4"/>
        <v>MP</v>
      </c>
      <c r="AD37" t="str">
        <f t="shared" si="14"/>
        <v>96950</v>
      </c>
      <c r="AE37" t="str">
        <f t="shared" si="6"/>
        <v>UNITED STATES OF AMERICA</v>
      </c>
      <c r="AF37" t="str">
        <f>""</f>
        <v/>
      </c>
      <c r="AG37" s="4" t="str">
        <f>"16702345828"</f>
        <v>16702345828</v>
      </c>
      <c r="AH37" t="str">
        <f>""</f>
        <v/>
      </c>
      <c r="AI37" t="str">
        <f>"2389"</f>
        <v>2389</v>
      </c>
      <c r="AJ37" t="s">
        <v>79</v>
      </c>
      <c r="AK37" t="s">
        <v>79</v>
      </c>
      <c r="AL37" t="s">
        <v>80</v>
      </c>
      <c r="AM37" t="s">
        <v>79</v>
      </c>
      <c r="AP37" t="str">
        <f>"Auto Body and Related Repairers"</f>
        <v>Auto Body and Related Repairers</v>
      </c>
      <c r="AQ37" t="str">
        <f>"49-3021.00"</f>
        <v>49-3021.00</v>
      </c>
      <c r="AR37" t="str">
        <f>"Automotive Body and Related Repairers"</f>
        <v>Automotive Body and Related Repairers</v>
      </c>
      <c r="AS37" t="str">
        <f>"President"</f>
        <v>President</v>
      </c>
      <c r="AT37" t="s">
        <v>79</v>
      </c>
      <c r="AU37" t="str">
        <f>""</f>
        <v/>
      </c>
      <c r="AV37" t="str">
        <f>""</f>
        <v/>
      </c>
      <c r="AW37" t="s">
        <v>79</v>
      </c>
      <c r="AX37" t="str">
        <f>""</f>
        <v/>
      </c>
      <c r="AY37" t="s">
        <v>84</v>
      </c>
      <c r="BA37" t="s">
        <v>119</v>
      </c>
      <c r="BB37" t="s">
        <v>79</v>
      </c>
      <c r="BD37" t="s">
        <v>79</v>
      </c>
      <c r="BG37" t="s">
        <v>82</v>
      </c>
      <c r="BH37">
        <v>12</v>
      </c>
      <c r="BI37" t="s">
        <v>1630</v>
      </c>
      <c r="BJ37" t="s">
        <v>161</v>
      </c>
      <c r="BK37" t="str">
        <f>"Bayogo Lane"</f>
        <v>Bayogo Lane</v>
      </c>
      <c r="BL37" t="str">
        <f>"PMB 1372 Box 10003 Saipan"</f>
        <v>PMB 1372 Box 10003 Saipan</v>
      </c>
      <c r="BM37" t="str">
        <f>"Gualo Rai"</f>
        <v>Gualo Rai</v>
      </c>
      <c r="BO37" t="s">
        <v>83</v>
      </c>
      <c r="BP37" s="4" t="str">
        <f t="shared" si="16"/>
        <v>96950</v>
      </c>
      <c r="BQ37" t="s">
        <v>79</v>
      </c>
      <c r="BR37" t="str">
        <f>"49-3021.00"</f>
        <v>49-3021.00</v>
      </c>
      <c r="BS37" t="s">
        <v>1475</v>
      </c>
      <c r="BT37" s="3">
        <v>10.06</v>
      </c>
      <c r="BU37" t="s">
        <v>80</v>
      </c>
      <c r="BV37" t="s">
        <v>90</v>
      </c>
      <c r="BW37" t="s">
        <v>92</v>
      </c>
      <c r="BZ37" s="1">
        <v>45107</v>
      </c>
    </row>
    <row r="38" spans="1:78" ht="15" customHeight="1" x14ac:dyDescent="0.25">
      <c r="A38" t="s">
        <v>1631</v>
      </c>
      <c r="B38" t="s">
        <v>94</v>
      </c>
      <c r="C38" s="1">
        <v>44879</v>
      </c>
      <c r="D38" s="1">
        <v>44922</v>
      </c>
      <c r="H38" t="s">
        <v>78</v>
      </c>
      <c r="I38" t="str">
        <f>"Qian"</f>
        <v>Qian</v>
      </c>
      <c r="J38" t="str">
        <f>"Guocao"</f>
        <v>Guocao</v>
      </c>
      <c r="K38" t="str">
        <f>""</f>
        <v/>
      </c>
      <c r="L38" t="str">
        <f>"President"</f>
        <v>President</v>
      </c>
      <c r="M38" t="str">
        <f>"Bayogo Lane"</f>
        <v>Bayogo Lane</v>
      </c>
      <c r="N38" t="str">
        <f>"PMB 1372 Box 10003 Saipan"</f>
        <v>PMB 1372 Box 10003 Saipan</v>
      </c>
      <c r="O38" t="str">
        <f>"Gualo Rai"</f>
        <v>Gualo Rai</v>
      </c>
      <c r="P38" t="str">
        <f t="shared" si="11"/>
        <v>MP</v>
      </c>
      <c r="Q38" s="4" t="str">
        <f t="shared" si="12"/>
        <v>96950</v>
      </c>
      <c r="R38" t="str">
        <f t="shared" si="3"/>
        <v>UNITED STATES OF AMERICA</v>
      </c>
      <c r="S38" t="str">
        <f>""</f>
        <v/>
      </c>
      <c r="T38" s="5" t="str">
        <f>"16702345828"</f>
        <v>16702345828</v>
      </c>
      <c r="U38" t="str">
        <f>""</f>
        <v/>
      </c>
      <c r="V38" s="5" t="str">
        <f>""</f>
        <v/>
      </c>
      <c r="W38" t="str">
        <f>"usafanter.operations@gmail.com"</f>
        <v>usafanter.operations@gmail.com</v>
      </c>
      <c r="X38" t="str">
        <f>"USA Fanter Corporation Ltd"</f>
        <v>USA Fanter Corporation Ltd</v>
      </c>
      <c r="Y38" t="str">
        <f>""</f>
        <v/>
      </c>
      <c r="Z38" t="str">
        <f>"Bayogo Lane"</f>
        <v>Bayogo Lane</v>
      </c>
      <c r="AA38" t="str">
        <f>"PMB 1372 Box 10003 Saipan"</f>
        <v>PMB 1372 Box 10003 Saipan</v>
      </c>
      <c r="AB38" t="str">
        <f>"Gualo Rai"</f>
        <v>Gualo Rai</v>
      </c>
      <c r="AC38" t="str">
        <f t="shared" si="4"/>
        <v>MP</v>
      </c>
      <c r="AD38" t="str">
        <f t="shared" si="14"/>
        <v>96950</v>
      </c>
      <c r="AE38" t="str">
        <f t="shared" si="6"/>
        <v>UNITED STATES OF AMERICA</v>
      </c>
      <c r="AF38" t="str">
        <f>""</f>
        <v/>
      </c>
      <c r="AG38" s="4" t="str">
        <f>"16702345828"</f>
        <v>16702345828</v>
      </c>
      <c r="AH38" t="str">
        <f>""</f>
        <v/>
      </c>
      <c r="AI38" t="str">
        <f>"2389"</f>
        <v>2389</v>
      </c>
      <c r="AJ38" t="s">
        <v>79</v>
      </c>
      <c r="AK38" t="s">
        <v>79</v>
      </c>
      <c r="AL38" t="s">
        <v>80</v>
      </c>
      <c r="AM38" t="s">
        <v>79</v>
      </c>
      <c r="AP38" t="str">
        <f>"Surveying Technician"</f>
        <v>Surveying Technician</v>
      </c>
      <c r="AQ38" t="str">
        <f>"17-3031.00"</f>
        <v>17-3031.00</v>
      </c>
      <c r="AR38" t="str">
        <f>"Surveying and Mapping Technicians"</f>
        <v>Surveying and Mapping Technicians</v>
      </c>
      <c r="AS38" t="str">
        <f>"President"</f>
        <v>President</v>
      </c>
      <c r="AT38" t="s">
        <v>79</v>
      </c>
      <c r="AU38" t="str">
        <f>""</f>
        <v/>
      </c>
      <c r="AV38" t="str">
        <f>""</f>
        <v/>
      </c>
      <c r="AW38" t="s">
        <v>79</v>
      </c>
      <c r="AX38" t="str">
        <f>""</f>
        <v/>
      </c>
      <c r="AY38" t="s">
        <v>124</v>
      </c>
      <c r="BA38" t="s">
        <v>1521</v>
      </c>
      <c r="BB38" t="s">
        <v>79</v>
      </c>
      <c r="BD38" t="s">
        <v>79</v>
      </c>
      <c r="BG38" t="s">
        <v>82</v>
      </c>
      <c r="BH38">
        <v>24</v>
      </c>
      <c r="BI38" t="s">
        <v>1632</v>
      </c>
      <c r="BJ38" t="s">
        <v>161</v>
      </c>
      <c r="BK38" t="str">
        <f>"Bayogo Lane"</f>
        <v>Bayogo Lane</v>
      </c>
      <c r="BL38" t="str">
        <f>"PMB 1372 Box 10003 Saipan"</f>
        <v>PMB 1372 Box 10003 Saipan</v>
      </c>
      <c r="BM38" t="str">
        <f>"Gualo Rai"</f>
        <v>Gualo Rai</v>
      </c>
      <c r="BO38" t="s">
        <v>83</v>
      </c>
      <c r="BP38" s="4" t="str">
        <f t="shared" si="16"/>
        <v>96950</v>
      </c>
      <c r="BQ38" t="s">
        <v>79</v>
      </c>
      <c r="BR38" t="str">
        <f>"17-3031.00"</f>
        <v>17-3031.00</v>
      </c>
      <c r="BS38" t="s">
        <v>1633</v>
      </c>
      <c r="BT38" s="3">
        <v>16.75</v>
      </c>
      <c r="BU38" t="s">
        <v>80</v>
      </c>
      <c r="BV38" t="s">
        <v>90</v>
      </c>
      <c r="BW38" t="s">
        <v>92</v>
      </c>
      <c r="BZ38" s="1">
        <v>45107</v>
      </c>
    </row>
    <row r="39" spans="1:78" ht="15" customHeight="1" x14ac:dyDescent="0.25">
      <c r="A39" t="s">
        <v>1619</v>
      </c>
      <c r="B39" t="s">
        <v>94</v>
      </c>
      <c r="C39" s="1">
        <v>44878</v>
      </c>
      <c r="D39" s="1">
        <v>44918</v>
      </c>
      <c r="H39" t="s">
        <v>78</v>
      </c>
      <c r="I39" t="str">
        <f>"HANSON"</f>
        <v>HANSON</v>
      </c>
      <c r="J39" t="str">
        <f>"MARK"</f>
        <v>MARK</v>
      </c>
      <c r="K39" t="str">
        <f>"BRADLEY"</f>
        <v>BRADLEY</v>
      </c>
      <c r="L39" t="str">
        <f>"MANAGING MEMBER"</f>
        <v>MANAGING MEMBER</v>
      </c>
      <c r="M39" t="str">
        <f>"ROYAL PALM AVENUE, BEACH ROAD, GARAPAN"</f>
        <v>ROYAL PALM AVENUE, BEACH ROAD, GARAPAN</v>
      </c>
      <c r="N39" t="str">
        <f>"SECOND FLOOR MACARANAS BUILDING, PMB 738, PO BOX 10,000"</f>
        <v>SECOND FLOOR MACARANAS BUILDING, PMB 738, PO BOX 10,000</v>
      </c>
      <c r="O39" t="str">
        <f>"SAIPAN"</f>
        <v>SAIPAN</v>
      </c>
      <c r="P39" t="str">
        <f t="shared" si="11"/>
        <v>MP</v>
      </c>
      <c r="Q39" s="4" t="str">
        <f t="shared" si="12"/>
        <v>96950</v>
      </c>
      <c r="R39" t="str">
        <f t="shared" si="3"/>
        <v>UNITED STATES OF AMERICA</v>
      </c>
      <c r="S39" t="str">
        <f>"NORTHERN MARIANA ISLANDS"</f>
        <v>NORTHERN MARIANA ISLANDS</v>
      </c>
      <c r="T39" s="5" t="str">
        <f>"16702338600"</f>
        <v>16702338600</v>
      </c>
      <c r="U39" t="str">
        <f>"229"</f>
        <v>229</v>
      </c>
      <c r="V39" s="5" t="str">
        <f>""</f>
        <v/>
      </c>
      <c r="W39" t="str">
        <f>"UCCSLLC@GMAIL.COM"</f>
        <v>UCCSLLC@GMAIL.COM</v>
      </c>
      <c r="X39" t="str">
        <f>"UNITED COOP CLEANING SERVICES LLC"</f>
        <v>UNITED COOP CLEANING SERVICES LLC</v>
      </c>
      <c r="Y39" t="str">
        <f>"N/A"</f>
        <v>N/A</v>
      </c>
      <c r="Z39" t="str">
        <f>"ROYAL PALM AVENUE, BEACH ROAD GARAPAN"</f>
        <v>ROYAL PALM AVENUE, BEACH ROAD GARAPAN</v>
      </c>
      <c r="AA39" t="str">
        <f>"SECOND FLOOR MACARANAS BUILDING, PMB 738, PO BOX 10,000"</f>
        <v>SECOND FLOOR MACARANAS BUILDING, PMB 738, PO BOX 10,000</v>
      </c>
      <c r="AB39" t="str">
        <f>"SAIPAN"</f>
        <v>SAIPAN</v>
      </c>
      <c r="AC39" t="str">
        <f t="shared" si="4"/>
        <v>MP</v>
      </c>
      <c r="AD39" t="str">
        <f t="shared" si="14"/>
        <v>96950</v>
      </c>
      <c r="AE39" t="str">
        <f t="shared" si="6"/>
        <v>UNITED STATES OF AMERICA</v>
      </c>
      <c r="AF39" t="str">
        <f>"NORTHERN MARIANA ISLANDS"</f>
        <v>NORTHERN MARIANA ISLANDS</v>
      </c>
      <c r="AG39" s="4" t="str">
        <f>"16702342066"</f>
        <v>16702342066</v>
      </c>
      <c r="AH39" t="str">
        <f>"0"</f>
        <v>0</v>
      </c>
      <c r="AI39" t="str">
        <f>"56172"</f>
        <v>56172</v>
      </c>
      <c r="AJ39" t="s">
        <v>79</v>
      </c>
      <c r="AK39" t="s">
        <v>79</v>
      </c>
      <c r="AL39" t="s">
        <v>80</v>
      </c>
      <c r="AM39" t="s">
        <v>79</v>
      </c>
      <c r="AP39" t="str">
        <f>"BUILDING AND GROUNDS CLEANING AND MAINTENANCE WORKER"</f>
        <v>BUILDING AND GROUNDS CLEANING AND MAINTENANCE WORKER</v>
      </c>
      <c r="AQ39" t="str">
        <f>"49-9071.00"</f>
        <v>49-9071.00</v>
      </c>
      <c r="AR39" t="str">
        <f>"Maintenance and Repair Workers, General"</f>
        <v>Maintenance and Repair Workers, General</v>
      </c>
      <c r="AS39" t="str">
        <f>"N/A"</f>
        <v>N/A</v>
      </c>
      <c r="AT39" t="s">
        <v>79</v>
      </c>
      <c r="AU39" t="str">
        <f>""</f>
        <v/>
      </c>
      <c r="AV39" t="str">
        <f>""</f>
        <v/>
      </c>
      <c r="AW39" t="s">
        <v>79</v>
      </c>
      <c r="AX39" t="str">
        <f>""</f>
        <v/>
      </c>
      <c r="AY39" t="s">
        <v>81</v>
      </c>
      <c r="BA39" t="s">
        <v>80</v>
      </c>
      <c r="BB39" t="s">
        <v>79</v>
      </c>
      <c r="BD39" t="s">
        <v>79</v>
      </c>
      <c r="BG39" t="s">
        <v>82</v>
      </c>
      <c r="BH39">
        <v>24</v>
      </c>
      <c r="BI39" t="s">
        <v>1620</v>
      </c>
      <c r="BJ39" t="s">
        <v>1621</v>
      </c>
      <c r="BK39" t="str">
        <f>"ROYAL PALM AVENUE, BEACH ROAD GARAPAN"</f>
        <v>ROYAL PALM AVENUE, BEACH ROAD GARAPAN</v>
      </c>
      <c r="BL39" t="str">
        <f>"SECOND FLOOR MACARANAS BUILDING, PMB 738, PO BOX 10,000"</f>
        <v>SECOND FLOOR MACARANAS BUILDING, PMB 738, PO BOX 10,000</v>
      </c>
      <c r="BM39" t="str">
        <f>"SAIPAN"</f>
        <v>SAIPAN</v>
      </c>
      <c r="BO39" t="s">
        <v>83</v>
      </c>
      <c r="BP39" s="4" t="str">
        <f t="shared" si="16"/>
        <v>96950</v>
      </c>
      <c r="BQ39" t="s">
        <v>82</v>
      </c>
      <c r="BR39" t="str">
        <f>"49-9071.00"</f>
        <v>49-9071.00</v>
      </c>
      <c r="BS39" t="s">
        <v>146</v>
      </c>
      <c r="BT39" s="3">
        <v>9.19</v>
      </c>
      <c r="BU39" t="s">
        <v>80</v>
      </c>
      <c r="BV39" t="s">
        <v>90</v>
      </c>
      <c r="BW39" t="s">
        <v>92</v>
      </c>
      <c r="BZ39" s="1">
        <v>45107</v>
      </c>
    </row>
    <row r="40" spans="1:78" ht="15" customHeight="1" x14ac:dyDescent="0.25">
      <c r="A40" t="s">
        <v>1622</v>
      </c>
      <c r="B40" t="s">
        <v>94</v>
      </c>
      <c r="C40" s="1">
        <v>44878</v>
      </c>
      <c r="D40" s="1">
        <v>44918</v>
      </c>
      <c r="H40" t="s">
        <v>78</v>
      </c>
      <c r="I40" t="str">
        <f>"Pacala"</f>
        <v>Pacala</v>
      </c>
      <c r="J40" t="str">
        <f>"Marilou"</f>
        <v>Marilou</v>
      </c>
      <c r="K40" t="str">
        <f>""</f>
        <v/>
      </c>
      <c r="L40" t="str">
        <f>"Administrative Assistant"</f>
        <v>Administrative Assistant</v>
      </c>
      <c r="M40" t="str">
        <f>"P.O. Box 505252"</f>
        <v>P.O. Box 505252</v>
      </c>
      <c r="N40" t="str">
        <f>""</f>
        <v/>
      </c>
      <c r="O40" t="str">
        <f>"Saipan"</f>
        <v>Saipan</v>
      </c>
      <c r="P40" t="str">
        <f t="shared" si="11"/>
        <v>MP</v>
      </c>
      <c r="Q40" s="4" t="str">
        <f t="shared" si="12"/>
        <v>96950</v>
      </c>
      <c r="R40" t="str">
        <f t="shared" si="3"/>
        <v>UNITED STATES OF AMERICA</v>
      </c>
      <c r="S40" t="str">
        <f>""</f>
        <v/>
      </c>
      <c r="T40" s="5" t="str">
        <f>"16702873991"</f>
        <v>16702873991</v>
      </c>
      <c r="U40" t="str">
        <f>""</f>
        <v/>
      </c>
      <c r="V40" s="5" t="str">
        <f>""</f>
        <v/>
      </c>
      <c r="W40" t="str">
        <f>"pccrobertoscafe@gmail.com"</f>
        <v>pccrobertoscafe@gmail.com</v>
      </c>
      <c r="X40" t="str">
        <f>"PCC Corporation"</f>
        <v>PCC Corporation</v>
      </c>
      <c r="Y40" t="str">
        <f>"Roberto's Cafe"</f>
        <v>Roberto's Cafe</v>
      </c>
      <c r="Z40" t="str">
        <f>"I Fadang"</f>
        <v>I Fadang</v>
      </c>
      <c r="AA40" t="str">
        <f>"Saipan International Airport"</f>
        <v>Saipan International Airport</v>
      </c>
      <c r="AB40" t="str">
        <f>"Saipan"</f>
        <v>Saipan</v>
      </c>
      <c r="AC40" t="str">
        <f t="shared" si="4"/>
        <v>MP</v>
      </c>
      <c r="AD40" t="str">
        <f t="shared" si="14"/>
        <v>96950</v>
      </c>
      <c r="AE40" t="str">
        <f t="shared" si="6"/>
        <v>UNITED STATES OF AMERICA</v>
      </c>
      <c r="AF40" t="str">
        <f>""</f>
        <v/>
      </c>
      <c r="AG40" s="4" t="str">
        <f>"16702873991"</f>
        <v>16702873991</v>
      </c>
      <c r="AH40" t="str">
        <f>""</f>
        <v/>
      </c>
      <c r="AI40" t="str">
        <f>"722513"</f>
        <v>722513</v>
      </c>
      <c r="AJ40" t="s">
        <v>79</v>
      </c>
      <c r="AK40" t="s">
        <v>79</v>
      </c>
      <c r="AL40" t="s">
        <v>80</v>
      </c>
      <c r="AM40" t="s">
        <v>79</v>
      </c>
      <c r="AP40" t="str">
        <f>"Computer User Support Specialists"</f>
        <v>Computer User Support Specialists</v>
      </c>
      <c r="AQ40" t="str">
        <f>"15-1232.00"</f>
        <v>15-1232.00</v>
      </c>
      <c r="AR40" t="str">
        <f>"Computer User Support Specialists"</f>
        <v>Computer User Support Specialists</v>
      </c>
      <c r="AS40" t="str">
        <f>"Manager"</f>
        <v>Manager</v>
      </c>
      <c r="AT40" t="s">
        <v>79</v>
      </c>
      <c r="AU40" t="str">
        <f>""</f>
        <v/>
      </c>
      <c r="AV40" t="str">
        <f>""</f>
        <v/>
      </c>
      <c r="AW40" t="s">
        <v>79</v>
      </c>
      <c r="AX40" t="str">
        <f>""</f>
        <v/>
      </c>
      <c r="AY40" t="s">
        <v>84</v>
      </c>
      <c r="BA40" t="s">
        <v>80</v>
      </c>
      <c r="BB40" t="s">
        <v>79</v>
      </c>
      <c r="BD40" t="s">
        <v>79</v>
      </c>
      <c r="BG40" t="s">
        <v>82</v>
      </c>
      <c r="BH40">
        <v>12</v>
      </c>
      <c r="BI40" t="s">
        <v>1420</v>
      </c>
      <c r="BJ40" s="2" t="s">
        <v>1623</v>
      </c>
      <c r="BK40" t="str">
        <f>"I Fadang"</f>
        <v>I Fadang</v>
      </c>
      <c r="BL40" t="str">
        <f>"Saipan International Airport"</f>
        <v>Saipan International Airport</v>
      </c>
      <c r="BM40" t="str">
        <f>"Saipan"</f>
        <v>Saipan</v>
      </c>
      <c r="BO40" t="s">
        <v>83</v>
      </c>
      <c r="BP40" s="4" t="str">
        <f t="shared" si="16"/>
        <v>96950</v>
      </c>
      <c r="BQ40" t="s">
        <v>79</v>
      </c>
      <c r="BR40" t="str">
        <f>"15-1232.00"</f>
        <v>15-1232.00</v>
      </c>
      <c r="BS40" t="s">
        <v>678</v>
      </c>
      <c r="BT40" s="3">
        <v>12.78</v>
      </c>
      <c r="BU40" t="s">
        <v>80</v>
      </c>
      <c r="BV40" t="s">
        <v>90</v>
      </c>
      <c r="BW40" t="s">
        <v>92</v>
      </c>
      <c r="BZ40" s="1">
        <v>45107</v>
      </c>
    </row>
    <row r="41" spans="1:78" ht="15" customHeight="1" x14ac:dyDescent="0.25">
      <c r="A41" t="s">
        <v>1624</v>
      </c>
      <c r="B41" t="s">
        <v>94</v>
      </c>
      <c r="C41" s="1">
        <v>44878</v>
      </c>
      <c r="D41" s="1">
        <v>44918</v>
      </c>
      <c r="H41" t="s">
        <v>78</v>
      </c>
      <c r="I41" t="str">
        <f>"Avendano"</f>
        <v>Avendano</v>
      </c>
      <c r="J41" t="str">
        <f>"Fidelisa"</f>
        <v>Fidelisa</v>
      </c>
      <c r="K41" t="str">
        <f>"Cal"</f>
        <v>Cal</v>
      </c>
      <c r="L41" t="str">
        <f>"Authorized Representative"</f>
        <v>Authorized Representative</v>
      </c>
      <c r="M41" t="str">
        <f>"Chalan Pale Arnold Road, Chalan Lau Lau"</f>
        <v>Chalan Pale Arnold Road, Chalan Lau Lau</v>
      </c>
      <c r="N41" t="str">
        <f>"P.O. Box 503024"</f>
        <v>P.O. Box 503024</v>
      </c>
      <c r="O41" t="str">
        <f>"Saipan"</f>
        <v>Saipan</v>
      </c>
      <c r="P41" t="str">
        <f t="shared" si="11"/>
        <v>MP</v>
      </c>
      <c r="Q41" s="4" t="str">
        <f t="shared" si="12"/>
        <v>96950</v>
      </c>
      <c r="R41" t="str">
        <f t="shared" si="3"/>
        <v>UNITED STATES OF AMERICA</v>
      </c>
      <c r="S41" t="str">
        <f>"N/A"</f>
        <v>N/A</v>
      </c>
      <c r="T41" s="5" t="str">
        <f>"16702346278"</f>
        <v>16702346278</v>
      </c>
      <c r="U41" t="str">
        <f>""</f>
        <v/>
      </c>
      <c r="V41" s="5" t="str">
        <f>""</f>
        <v/>
      </c>
      <c r="W41" t="str">
        <f>"cnmicw12019@gmail.com"</f>
        <v>cnmicw12019@gmail.com</v>
      </c>
      <c r="X41" t="str">
        <f>"CFPJ CORPORATION"</f>
        <v>CFPJ CORPORATION</v>
      </c>
      <c r="Y41" t="str">
        <f>"FPJ CONSTRUCTION"</f>
        <v>FPJ CONSTRUCTION</v>
      </c>
      <c r="Z41" t="str">
        <f>"As Perdido Road, Chalan Piao"</f>
        <v>As Perdido Road, Chalan Piao</v>
      </c>
      <c r="AA41" t="str">
        <f>"PMB 3574 Box 10002 "</f>
        <v xml:space="preserve">PMB 3574 Box 10002 </v>
      </c>
      <c r="AB41" t="str">
        <f>"Saipan "</f>
        <v xml:space="preserve">Saipan </v>
      </c>
      <c r="AC41" t="str">
        <f t="shared" si="4"/>
        <v>MP</v>
      </c>
      <c r="AD41" t="str">
        <f t="shared" si="14"/>
        <v>96950</v>
      </c>
      <c r="AE41" t="str">
        <f t="shared" si="6"/>
        <v>UNITED STATES OF AMERICA</v>
      </c>
      <c r="AF41" t="str">
        <f>"N/A"</f>
        <v>N/A</v>
      </c>
      <c r="AG41" s="4" t="str">
        <f>"16702352375"</f>
        <v>16702352375</v>
      </c>
      <c r="AH41" t="str">
        <f>""</f>
        <v/>
      </c>
      <c r="AI41" t="str">
        <f>"236115"</f>
        <v>236115</v>
      </c>
      <c r="AJ41" t="s">
        <v>79</v>
      </c>
      <c r="AK41" t="s">
        <v>79</v>
      </c>
      <c r="AL41" t="s">
        <v>80</v>
      </c>
      <c r="AM41" t="s">
        <v>79</v>
      </c>
      <c r="AP41" t="str">
        <f>"Accountant"</f>
        <v>Accountant</v>
      </c>
      <c r="AQ41" t="str">
        <f>"13-2011.00"</f>
        <v>13-2011.00</v>
      </c>
      <c r="AR41" t="str">
        <f>"Accountants and Auditors"</f>
        <v>Accountants and Auditors</v>
      </c>
      <c r="AS41" t="str">
        <f>"General Manager"</f>
        <v>General Manager</v>
      </c>
      <c r="AT41" t="s">
        <v>79</v>
      </c>
      <c r="AU41" t="str">
        <f>""</f>
        <v/>
      </c>
      <c r="AV41" t="str">
        <f>""</f>
        <v/>
      </c>
      <c r="AW41" t="s">
        <v>79</v>
      </c>
      <c r="AX41" t="str">
        <f>""</f>
        <v/>
      </c>
      <c r="AY41" t="s">
        <v>95</v>
      </c>
      <c r="BA41" t="s">
        <v>1625</v>
      </c>
      <c r="BB41" t="s">
        <v>79</v>
      </c>
      <c r="BD41" t="s">
        <v>79</v>
      </c>
      <c r="BG41" t="s">
        <v>82</v>
      </c>
      <c r="BH41">
        <v>48</v>
      </c>
      <c r="BI41" t="s">
        <v>131</v>
      </c>
      <c r="BJ41" s="2" t="s">
        <v>1626</v>
      </c>
      <c r="BK41" t="str">
        <f>"As Perdido Road, Chalan Piao"</f>
        <v>As Perdido Road, Chalan Piao</v>
      </c>
      <c r="BL41" t="str">
        <f>""</f>
        <v/>
      </c>
      <c r="BM41" t="str">
        <f>"Saipan"</f>
        <v>Saipan</v>
      </c>
      <c r="BO41" t="s">
        <v>83</v>
      </c>
      <c r="BP41" s="4" t="str">
        <f t="shared" si="16"/>
        <v>96950</v>
      </c>
      <c r="BQ41" t="s">
        <v>79</v>
      </c>
      <c r="BR41" t="str">
        <f>"13-2011.00"</f>
        <v>13-2011.00</v>
      </c>
      <c r="BS41" t="s">
        <v>133</v>
      </c>
      <c r="BT41" s="3">
        <v>16.190000000000001</v>
      </c>
      <c r="BU41" t="s">
        <v>80</v>
      </c>
      <c r="BV41" t="s">
        <v>90</v>
      </c>
      <c r="BW41" t="s">
        <v>92</v>
      </c>
      <c r="BZ41" s="1">
        <v>45107</v>
      </c>
    </row>
    <row r="42" spans="1:78" ht="15" customHeight="1" x14ac:dyDescent="0.25">
      <c r="A42" t="s">
        <v>1611</v>
      </c>
      <c r="B42" t="s">
        <v>94</v>
      </c>
      <c r="C42" s="1">
        <v>44877</v>
      </c>
      <c r="D42" s="1">
        <v>44918</v>
      </c>
      <c r="H42" t="s">
        <v>78</v>
      </c>
      <c r="I42" t="str">
        <f>"URBANO"</f>
        <v>URBANO</v>
      </c>
      <c r="J42" t="str">
        <f>"JOCELYN"</f>
        <v>JOCELYN</v>
      </c>
      <c r="K42" t="str">
        <f>""</f>
        <v/>
      </c>
      <c r="L42" t="str">
        <f>"PRESIDENT"</f>
        <v>PRESIDENT</v>
      </c>
      <c r="M42" t="str">
        <f>"Room 206 MAC Bldg Chalan Kiya"</f>
        <v>Room 206 MAC Bldg Chalan Kiya</v>
      </c>
      <c r="N42" t="str">
        <f>"P.O. BOX 500947"</f>
        <v>P.O. BOX 500947</v>
      </c>
      <c r="O42" t="str">
        <f>"Saipan"</f>
        <v>Saipan</v>
      </c>
      <c r="P42" t="str">
        <f t="shared" si="11"/>
        <v>MP</v>
      </c>
      <c r="Q42" s="4" t="str">
        <f t="shared" si="12"/>
        <v>96950</v>
      </c>
      <c r="R42" t="str">
        <f t="shared" si="3"/>
        <v>UNITED STATES OF AMERICA</v>
      </c>
      <c r="S42" t="str">
        <f>""</f>
        <v/>
      </c>
      <c r="T42" s="5" t="str">
        <f>"16702870657"</f>
        <v>16702870657</v>
      </c>
      <c r="U42" t="str">
        <f>""</f>
        <v/>
      </c>
      <c r="V42" s="5" t="str">
        <f>""</f>
        <v/>
      </c>
      <c r="W42" t="str">
        <f>"admin@mtosaipan.com"</f>
        <v>admin@mtosaipan.com</v>
      </c>
      <c r="X42" t="str">
        <f>"MTO  MAINTENANCE SAIPAN INC"</f>
        <v>MTO  MAINTENANCE SAIPAN INC</v>
      </c>
      <c r="Y42" t="str">
        <f>""</f>
        <v/>
      </c>
      <c r="Z42" t="str">
        <f>"ROOM 206 MAC BUILDING CHALAN KIYA"</f>
        <v>ROOM 206 MAC BUILDING CHALAN KIYA</v>
      </c>
      <c r="AA42" t="str">
        <f>"P.O. BOX 500947"</f>
        <v>P.O. BOX 500947</v>
      </c>
      <c r="AB42" t="str">
        <f>"SAIPAN"</f>
        <v>SAIPAN</v>
      </c>
      <c r="AC42" t="str">
        <f t="shared" si="4"/>
        <v>MP</v>
      </c>
      <c r="AD42" t="str">
        <f t="shared" si="14"/>
        <v>96950</v>
      </c>
      <c r="AE42" t="str">
        <f t="shared" si="6"/>
        <v>UNITED STATES OF AMERICA</v>
      </c>
      <c r="AF42" t="str">
        <f>""</f>
        <v/>
      </c>
      <c r="AG42" s="4" t="str">
        <f>"16702870657"</f>
        <v>16702870657</v>
      </c>
      <c r="AH42" t="str">
        <f>""</f>
        <v/>
      </c>
      <c r="AI42" t="str">
        <f>"561720"</f>
        <v>561720</v>
      </c>
      <c r="AJ42" t="s">
        <v>79</v>
      </c>
      <c r="AK42" t="s">
        <v>79</v>
      </c>
      <c r="AL42" t="s">
        <v>80</v>
      </c>
      <c r="AM42" t="s">
        <v>79</v>
      </c>
      <c r="AP42" t="str">
        <f>"Massage Therapists"</f>
        <v>Massage Therapists</v>
      </c>
      <c r="AQ42" t="str">
        <f>"31-9011.00"</f>
        <v>31-9011.00</v>
      </c>
      <c r="AR42" t="str">
        <f>"Massage Therapists"</f>
        <v>Massage Therapists</v>
      </c>
      <c r="AS42" t="str">
        <f>"MANAGER"</f>
        <v>MANAGER</v>
      </c>
      <c r="AT42" t="s">
        <v>79</v>
      </c>
      <c r="AU42" t="str">
        <f>""</f>
        <v/>
      </c>
      <c r="AV42" t="str">
        <f>""</f>
        <v/>
      </c>
      <c r="AW42" t="s">
        <v>79</v>
      </c>
      <c r="AX42" t="str">
        <f>""</f>
        <v/>
      </c>
      <c r="AY42" t="s">
        <v>81</v>
      </c>
      <c r="BA42" t="s">
        <v>80</v>
      </c>
      <c r="BB42" t="s">
        <v>79</v>
      </c>
      <c r="BD42" t="s">
        <v>79</v>
      </c>
      <c r="BG42" t="s">
        <v>82</v>
      </c>
      <c r="BH42">
        <v>12</v>
      </c>
      <c r="BI42" t="s">
        <v>1612</v>
      </c>
      <c r="BJ42" s="2" t="s">
        <v>1613</v>
      </c>
      <c r="BK42" t="str">
        <f>"Room 206 MAC Bldg Chalan Kiya"</f>
        <v>Room 206 MAC Bldg Chalan Kiya</v>
      </c>
      <c r="BL42" t="str">
        <f>""</f>
        <v/>
      </c>
      <c r="BM42" t="str">
        <f>"Saipan"</f>
        <v>Saipan</v>
      </c>
      <c r="BO42" t="s">
        <v>83</v>
      </c>
      <c r="BP42" s="4" t="str">
        <f t="shared" si="16"/>
        <v>96950</v>
      </c>
      <c r="BQ42" t="s">
        <v>82</v>
      </c>
      <c r="BR42" t="str">
        <f>"31-9011.00"</f>
        <v>31-9011.00</v>
      </c>
      <c r="BS42" t="s">
        <v>348</v>
      </c>
      <c r="BT42" s="3">
        <v>11.46</v>
      </c>
      <c r="BU42" t="s">
        <v>80</v>
      </c>
      <c r="BV42" t="s">
        <v>90</v>
      </c>
      <c r="BW42" t="s">
        <v>92</v>
      </c>
      <c r="BZ42" s="1">
        <v>45107</v>
      </c>
    </row>
    <row r="43" spans="1:78" ht="15" customHeight="1" x14ac:dyDescent="0.25">
      <c r="A43" t="s">
        <v>1614</v>
      </c>
      <c r="B43" t="s">
        <v>94</v>
      </c>
      <c r="C43" s="1">
        <v>44877</v>
      </c>
      <c r="D43" s="1">
        <v>44918</v>
      </c>
      <c r="H43" t="s">
        <v>78</v>
      </c>
      <c r="I43" t="str">
        <f>"URBANO"</f>
        <v>URBANO</v>
      </c>
      <c r="J43" t="str">
        <f>"JOCELYN"</f>
        <v>JOCELYN</v>
      </c>
      <c r="K43" t="str">
        <f>""</f>
        <v/>
      </c>
      <c r="L43" t="str">
        <f>"PRESIDENT"</f>
        <v>PRESIDENT</v>
      </c>
      <c r="M43" t="str">
        <f>"Room 206 MAC Bldg Chalan Kiya"</f>
        <v>Room 206 MAC Bldg Chalan Kiya</v>
      </c>
      <c r="N43" t="str">
        <f>"P.O. BOX 500947"</f>
        <v>P.O. BOX 500947</v>
      </c>
      <c r="O43" t="str">
        <f>"Saipan"</f>
        <v>Saipan</v>
      </c>
      <c r="P43" t="str">
        <f t="shared" si="11"/>
        <v>MP</v>
      </c>
      <c r="Q43" s="4" t="str">
        <f t="shared" si="12"/>
        <v>96950</v>
      </c>
      <c r="R43" t="str">
        <f t="shared" si="3"/>
        <v>UNITED STATES OF AMERICA</v>
      </c>
      <c r="S43" t="str">
        <f>""</f>
        <v/>
      </c>
      <c r="T43" s="5" t="str">
        <f>"16702870657"</f>
        <v>16702870657</v>
      </c>
      <c r="U43" t="str">
        <f>""</f>
        <v/>
      </c>
      <c r="V43" s="5" t="str">
        <f>""</f>
        <v/>
      </c>
      <c r="W43" t="str">
        <f>"admin@mtosaipan.com"</f>
        <v>admin@mtosaipan.com</v>
      </c>
      <c r="X43" t="str">
        <f>"MTO  MAINTENANCE SAIPAN INC"</f>
        <v>MTO  MAINTENANCE SAIPAN INC</v>
      </c>
      <c r="Y43" t="str">
        <f>"MTO  MAINTENANCE SAIPAN INC"</f>
        <v>MTO  MAINTENANCE SAIPAN INC</v>
      </c>
      <c r="Z43" t="str">
        <f>"Room 206 MAC Bldg Chalan Kiya"</f>
        <v>Room 206 MAC Bldg Chalan Kiya</v>
      </c>
      <c r="AA43" t="str">
        <f>"chalan kiya"</f>
        <v>chalan kiya</v>
      </c>
      <c r="AB43" t="str">
        <f>"SAIPAN"</f>
        <v>SAIPAN</v>
      </c>
      <c r="AC43" t="str">
        <f t="shared" si="4"/>
        <v>MP</v>
      </c>
      <c r="AD43" t="str">
        <f t="shared" si="14"/>
        <v>96950</v>
      </c>
      <c r="AE43" t="str">
        <f t="shared" si="6"/>
        <v>UNITED STATES OF AMERICA</v>
      </c>
      <c r="AF43" t="str">
        <f>""</f>
        <v/>
      </c>
      <c r="AG43" s="4" t="str">
        <f>"16702870657"</f>
        <v>16702870657</v>
      </c>
      <c r="AH43" t="str">
        <f>""</f>
        <v/>
      </c>
      <c r="AI43" t="str">
        <f>"561720"</f>
        <v>561720</v>
      </c>
      <c r="AJ43" t="s">
        <v>79</v>
      </c>
      <c r="AK43" t="s">
        <v>79</v>
      </c>
      <c r="AL43" t="s">
        <v>80</v>
      </c>
      <c r="AM43" t="s">
        <v>79</v>
      </c>
      <c r="AP43" t="str">
        <f>"Computer Support Specialist "</f>
        <v xml:space="preserve">Computer Support Specialist </v>
      </c>
      <c r="AQ43" t="str">
        <f>""</f>
        <v/>
      </c>
      <c r="AR43" t="str">
        <f>""</f>
        <v/>
      </c>
      <c r="AS43" t="str">
        <f>"MANAGER"</f>
        <v>MANAGER</v>
      </c>
      <c r="AT43" t="s">
        <v>79</v>
      </c>
      <c r="AU43" t="str">
        <f>""</f>
        <v/>
      </c>
      <c r="AV43" t="str">
        <f>""</f>
        <v/>
      </c>
      <c r="AW43" t="s">
        <v>79</v>
      </c>
      <c r="AX43" t="str">
        <f>""</f>
        <v/>
      </c>
      <c r="AY43" t="s">
        <v>124</v>
      </c>
      <c r="BA43" t="s">
        <v>1615</v>
      </c>
      <c r="BB43" t="s">
        <v>79</v>
      </c>
      <c r="BD43" t="s">
        <v>79</v>
      </c>
      <c r="BG43" t="s">
        <v>82</v>
      </c>
      <c r="BH43">
        <v>24</v>
      </c>
      <c r="BI43" t="s">
        <v>1616</v>
      </c>
      <c r="BJ43" s="2" t="s">
        <v>1617</v>
      </c>
      <c r="BK43" t="str">
        <f>"Room 206 MAC Bldg Chalan Kiya"</f>
        <v>Room 206 MAC Bldg Chalan Kiya</v>
      </c>
      <c r="BL43" t="str">
        <f>""</f>
        <v/>
      </c>
      <c r="BM43" t="str">
        <f>"Saipan"</f>
        <v>Saipan</v>
      </c>
      <c r="BO43" t="s">
        <v>83</v>
      </c>
      <c r="BP43" s="4" t="str">
        <f t="shared" si="16"/>
        <v>96950</v>
      </c>
      <c r="BQ43" t="s">
        <v>82</v>
      </c>
      <c r="BR43" t="str">
        <f>"15-1244.00"</f>
        <v>15-1244.00</v>
      </c>
      <c r="BS43" t="s">
        <v>1618</v>
      </c>
      <c r="BT43" s="3">
        <v>22.43</v>
      </c>
      <c r="BU43" t="s">
        <v>80</v>
      </c>
      <c r="BV43" t="s">
        <v>90</v>
      </c>
      <c r="BW43" t="s">
        <v>92</v>
      </c>
      <c r="BZ43" s="1">
        <v>45107</v>
      </c>
    </row>
    <row r="44" spans="1:78" ht="15" customHeight="1" x14ac:dyDescent="0.25">
      <c r="A44" t="s">
        <v>1591</v>
      </c>
      <c r="B44" t="s">
        <v>94</v>
      </c>
      <c r="C44" s="1">
        <v>44876</v>
      </c>
      <c r="D44" s="1">
        <v>44918</v>
      </c>
      <c r="H44" t="s">
        <v>78</v>
      </c>
      <c r="I44" t="str">
        <f>"ESLABAN"</f>
        <v>ESLABAN</v>
      </c>
      <c r="J44" t="str">
        <f>"CARLOS JR."</f>
        <v>CARLOS JR.</v>
      </c>
      <c r="K44" t="str">
        <f>"ESPIRITU"</f>
        <v>ESPIRITU</v>
      </c>
      <c r="L44" t="str">
        <f>"MANAGER"</f>
        <v>MANAGER</v>
      </c>
      <c r="M44" t="str">
        <f>"P.O. BOX 501393, BEACH ROAD"</f>
        <v>P.O. BOX 501393, BEACH ROAD</v>
      </c>
      <c r="N44" t="str">
        <f>"CHALAN KANOA"</f>
        <v>CHALAN KANOA</v>
      </c>
      <c r="O44" t="str">
        <f>"SAIPAN"</f>
        <v>SAIPAN</v>
      </c>
      <c r="P44" t="str">
        <f t="shared" si="11"/>
        <v>MP</v>
      </c>
      <c r="Q44" s="4" t="str">
        <f t="shared" si="12"/>
        <v>96950</v>
      </c>
      <c r="R44" t="str">
        <f t="shared" si="3"/>
        <v>UNITED STATES OF AMERICA</v>
      </c>
      <c r="S44" t="str">
        <f>"MP"</f>
        <v>MP</v>
      </c>
      <c r="T44" s="5" t="str">
        <f>"16709898771"</f>
        <v>16709898771</v>
      </c>
      <c r="U44" t="str">
        <f>""</f>
        <v/>
      </c>
      <c r="V44" s="5" t="str">
        <f>""</f>
        <v/>
      </c>
      <c r="W44" t="str">
        <f>"soudelorcorp@yahoo.com"</f>
        <v>soudelorcorp@yahoo.com</v>
      </c>
      <c r="X44" t="str">
        <f>"SOUDELOR CORPORATION"</f>
        <v>SOUDELOR CORPORATION</v>
      </c>
      <c r="Y44" t="str">
        <f>"J3 ENTERPRISES"</f>
        <v>J3 ENTERPRISES</v>
      </c>
      <c r="Z44" t="str">
        <f>"P.O. BOX 501393, BEACH ROAD"</f>
        <v>P.O. BOX 501393, BEACH ROAD</v>
      </c>
      <c r="AA44" t="str">
        <f>"CHALAN KANOA"</f>
        <v>CHALAN KANOA</v>
      </c>
      <c r="AB44" t="str">
        <f>"SAIPAN"</f>
        <v>SAIPAN</v>
      </c>
      <c r="AC44" t="str">
        <f t="shared" si="4"/>
        <v>MP</v>
      </c>
      <c r="AD44" t="str">
        <f t="shared" si="14"/>
        <v>96950</v>
      </c>
      <c r="AE44" t="str">
        <f t="shared" si="6"/>
        <v>UNITED STATES OF AMERICA</v>
      </c>
      <c r="AF44" t="str">
        <f>"MP"</f>
        <v>MP</v>
      </c>
      <c r="AG44" s="4" t="str">
        <f>"16709898771"</f>
        <v>16709898771</v>
      </c>
      <c r="AH44" t="str">
        <f>""</f>
        <v/>
      </c>
      <c r="AI44" t="str">
        <f>"236116"</f>
        <v>236116</v>
      </c>
      <c r="AJ44" t="s">
        <v>79</v>
      </c>
      <c r="AK44" t="s">
        <v>79</v>
      </c>
      <c r="AL44" t="s">
        <v>80</v>
      </c>
      <c r="AM44" t="s">
        <v>79</v>
      </c>
      <c r="AP44" t="str">
        <f>"MAINTENANCE AND REPAIR WORKER, GENERAL"</f>
        <v>MAINTENANCE AND REPAIR WORKER, GENERAL</v>
      </c>
      <c r="AQ44" t="str">
        <f>"49-9071.00"</f>
        <v>49-9071.00</v>
      </c>
      <c r="AR44" t="str">
        <f>"Maintenance and Repair Workers, General"</f>
        <v>Maintenance and Repair Workers, General</v>
      </c>
      <c r="AS44" t="str">
        <f>"MANAGER"</f>
        <v>MANAGER</v>
      </c>
      <c r="AT44" t="s">
        <v>79</v>
      </c>
      <c r="AU44" t="str">
        <f>""</f>
        <v/>
      </c>
      <c r="AV44" t="str">
        <f>""</f>
        <v/>
      </c>
      <c r="AW44" t="s">
        <v>79</v>
      </c>
      <c r="AX44" t="str">
        <f>""</f>
        <v/>
      </c>
      <c r="AY44" t="s">
        <v>84</v>
      </c>
      <c r="BA44" t="s">
        <v>80</v>
      </c>
      <c r="BB44" t="s">
        <v>79</v>
      </c>
      <c r="BD44" t="s">
        <v>79</v>
      </c>
      <c r="BG44" t="s">
        <v>82</v>
      </c>
      <c r="BH44">
        <v>6</v>
      </c>
      <c r="BI44" t="s">
        <v>231</v>
      </c>
      <c r="BJ44" t="s">
        <v>1592</v>
      </c>
      <c r="BK44" t="str">
        <f>"BEACH ROAD"</f>
        <v>BEACH ROAD</v>
      </c>
      <c r="BL44" t="str">
        <f>"CHALAN KANOA"</f>
        <v>CHALAN KANOA</v>
      </c>
      <c r="BM44" t="str">
        <f>"SAIPAN"</f>
        <v>SAIPAN</v>
      </c>
      <c r="BO44" t="s">
        <v>83</v>
      </c>
      <c r="BP44" s="4" t="str">
        <f t="shared" si="16"/>
        <v>96950</v>
      </c>
      <c r="BQ44" t="s">
        <v>79</v>
      </c>
      <c r="BR44" t="str">
        <f>"49-9071.00"</f>
        <v>49-9071.00</v>
      </c>
      <c r="BS44" t="s">
        <v>146</v>
      </c>
      <c r="BT44" s="3">
        <v>9.19</v>
      </c>
      <c r="BU44" t="s">
        <v>80</v>
      </c>
      <c r="BV44" t="s">
        <v>90</v>
      </c>
      <c r="BW44" t="s">
        <v>92</v>
      </c>
      <c r="BZ44" s="1">
        <v>45107</v>
      </c>
    </row>
    <row r="45" spans="1:78" ht="15" customHeight="1" x14ac:dyDescent="0.25">
      <c r="A45" t="s">
        <v>1593</v>
      </c>
      <c r="B45" t="s">
        <v>94</v>
      </c>
      <c r="C45" s="1">
        <v>44876</v>
      </c>
      <c r="D45" s="1">
        <v>44918</v>
      </c>
      <c r="H45" t="s">
        <v>78</v>
      </c>
      <c r="I45" t="str">
        <f>"ESLABAN"</f>
        <v>ESLABAN</v>
      </c>
      <c r="J45" t="str">
        <f>"CARLOS JR."</f>
        <v>CARLOS JR.</v>
      </c>
      <c r="K45" t="str">
        <f>"ESPIRITU"</f>
        <v>ESPIRITU</v>
      </c>
      <c r="L45" t="str">
        <f>"MANAGER"</f>
        <v>MANAGER</v>
      </c>
      <c r="M45" t="str">
        <f>"P.O. BOX 501393, BEACH ROAD"</f>
        <v>P.O. BOX 501393, BEACH ROAD</v>
      </c>
      <c r="N45" t="str">
        <f>"CHALAN KANOA"</f>
        <v>CHALAN KANOA</v>
      </c>
      <c r="O45" t="str">
        <f>"SAIPAN"</f>
        <v>SAIPAN</v>
      </c>
      <c r="P45" t="str">
        <f t="shared" si="11"/>
        <v>MP</v>
      </c>
      <c r="Q45" s="4" t="str">
        <f t="shared" si="12"/>
        <v>96950</v>
      </c>
      <c r="R45" t="str">
        <f t="shared" si="3"/>
        <v>UNITED STATES OF AMERICA</v>
      </c>
      <c r="S45" t="str">
        <f>"MP"</f>
        <v>MP</v>
      </c>
      <c r="T45" s="5" t="str">
        <f>"16709898771"</f>
        <v>16709898771</v>
      </c>
      <c r="U45" t="str">
        <f>""</f>
        <v/>
      </c>
      <c r="V45" s="5" t="str">
        <f>""</f>
        <v/>
      </c>
      <c r="W45" t="str">
        <f>"soudelorcorp@yahoo.com"</f>
        <v>soudelorcorp@yahoo.com</v>
      </c>
      <c r="X45" t="str">
        <f>"SOUDELOR CORPORATION"</f>
        <v>SOUDELOR CORPORATION</v>
      </c>
      <c r="Y45" t="str">
        <f>"J3 ENTERPRISES"</f>
        <v>J3 ENTERPRISES</v>
      </c>
      <c r="Z45" t="str">
        <f>"P.O. BOX 501393, BEACH ROAD"</f>
        <v>P.O. BOX 501393, BEACH ROAD</v>
      </c>
      <c r="AA45" t="str">
        <f>"CHALAN KANOA"</f>
        <v>CHALAN KANOA</v>
      </c>
      <c r="AB45" t="str">
        <f>"SAIPAN"</f>
        <v>SAIPAN</v>
      </c>
      <c r="AC45" t="str">
        <f t="shared" si="4"/>
        <v>MP</v>
      </c>
      <c r="AD45" t="str">
        <f t="shared" si="14"/>
        <v>96950</v>
      </c>
      <c r="AE45" t="str">
        <f t="shared" si="6"/>
        <v>UNITED STATES OF AMERICA</v>
      </c>
      <c r="AF45" t="str">
        <f>"MP"</f>
        <v>MP</v>
      </c>
      <c r="AG45" s="4" t="str">
        <f>"16709898771"</f>
        <v>16709898771</v>
      </c>
      <c r="AH45" t="str">
        <f>""</f>
        <v/>
      </c>
      <c r="AI45" t="str">
        <f>"236116"</f>
        <v>236116</v>
      </c>
      <c r="AJ45" t="s">
        <v>79</v>
      </c>
      <c r="AK45" t="s">
        <v>79</v>
      </c>
      <c r="AL45" t="s">
        <v>80</v>
      </c>
      <c r="AM45" t="s">
        <v>79</v>
      </c>
      <c r="AP45" t="str">
        <f>"DRAFSTMEN"</f>
        <v>DRAFSTMEN</v>
      </c>
      <c r="AQ45" t="str">
        <f>"17-3019.00"</f>
        <v>17-3019.00</v>
      </c>
      <c r="AR45" t="str">
        <f>"Drafters, All Other"</f>
        <v>Drafters, All Other</v>
      </c>
      <c r="AS45" t="str">
        <f>"MANAGER"</f>
        <v>MANAGER</v>
      </c>
      <c r="AT45" t="s">
        <v>79</v>
      </c>
      <c r="AU45" t="str">
        <f>""</f>
        <v/>
      </c>
      <c r="AV45" t="str">
        <f>""</f>
        <v/>
      </c>
      <c r="AW45" t="s">
        <v>79</v>
      </c>
      <c r="AX45" t="str">
        <f>""</f>
        <v/>
      </c>
      <c r="AY45" t="s">
        <v>84</v>
      </c>
      <c r="BA45" t="s">
        <v>80</v>
      </c>
      <c r="BB45" t="s">
        <v>79</v>
      </c>
      <c r="BD45" t="s">
        <v>79</v>
      </c>
      <c r="BG45" t="s">
        <v>82</v>
      </c>
      <c r="BH45">
        <v>12</v>
      </c>
      <c r="BI45" t="s">
        <v>1594</v>
      </c>
      <c r="BJ45" t="s">
        <v>1595</v>
      </c>
      <c r="BK45" t="str">
        <f>"BEACH ROAD"</f>
        <v>BEACH ROAD</v>
      </c>
      <c r="BL45" t="str">
        <f>"CHALAN KANOA"</f>
        <v>CHALAN KANOA</v>
      </c>
      <c r="BM45" t="str">
        <f>"SAIPAN"</f>
        <v>SAIPAN</v>
      </c>
      <c r="BO45" t="s">
        <v>83</v>
      </c>
      <c r="BP45" s="4" t="str">
        <f t="shared" si="16"/>
        <v>96950</v>
      </c>
      <c r="BQ45" t="s">
        <v>79</v>
      </c>
      <c r="BR45" t="str">
        <f>"17-3011.00"</f>
        <v>17-3011.00</v>
      </c>
      <c r="BS45" t="s">
        <v>714</v>
      </c>
      <c r="BT45" s="3">
        <v>16.75</v>
      </c>
      <c r="BU45" t="s">
        <v>80</v>
      </c>
      <c r="BV45" t="s">
        <v>90</v>
      </c>
      <c r="BW45" t="s">
        <v>92</v>
      </c>
      <c r="BZ45" s="1">
        <v>45107</v>
      </c>
    </row>
    <row r="46" spans="1:78" ht="15" customHeight="1" x14ac:dyDescent="0.25">
      <c r="A46" t="s">
        <v>1596</v>
      </c>
      <c r="B46" t="s">
        <v>94</v>
      </c>
      <c r="C46" s="1">
        <v>44876</v>
      </c>
      <c r="D46" s="1">
        <v>44918</v>
      </c>
      <c r="H46" t="s">
        <v>78</v>
      </c>
      <c r="I46" t="str">
        <f>"Mendiola"</f>
        <v>Mendiola</v>
      </c>
      <c r="J46" t="str">
        <f>"Nicolas"</f>
        <v>Nicolas</v>
      </c>
      <c r="K46" t="str">
        <f>"Manglona"</f>
        <v>Manglona</v>
      </c>
      <c r="L46" t="str">
        <f>"Operation Manager"</f>
        <v>Operation Manager</v>
      </c>
      <c r="M46" t="str">
        <f>"Sinapalo Village 3"</f>
        <v>Sinapalo Village 3</v>
      </c>
      <c r="N46" t="str">
        <f>"PO Box 494"</f>
        <v>PO Box 494</v>
      </c>
      <c r="O46" t="str">
        <f>"Rota"</f>
        <v>Rota</v>
      </c>
      <c r="P46" t="str">
        <f t="shared" si="11"/>
        <v>MP</v>
      </c>
      <c r="Q46" s="4" t="str">
        <f>"96951"</f>
        <v>96951</v>
      </c>
      <c r="R46" t="str">
        <f t="shared" si="3"/>
        <v>UNITED STATES OF AMERICA</v>
      </c>
      <c r="S46" t="str">
        <f>"Rota"</f>
        <v>Rota</v>
      </c>
      <c r="T46" s="5" t="str">
        <f>"16705326225"</f>
        <v>16705326225</v>
      </c>
      <c r="U46" t="str">
        <f>""</f>
        <v/>
      </c>
      <c r="V46" s="5" t="str">
        <f>""</f>
        <v/>
      </c>
      <c r="W46" t="str">
        <f>"nmiasset@gmail.com"</f>
        <v>nmiasset@gmail.com</v>
      </c>
      <c r="X46" t="str">
        <f>"NMI Asset Acquisition Inc"</f>
        <v>NMI Asset Acquisition Inc</v>
      </c>
      <c r="Y46" t="str">
        <f>"NMI Asset Acquisition Inc"</f>
        <v>NMI Asset Acquisition Inc</v>
      </c>
      <c r="Z46" t="str">
        <f>"Sinapalo Village 3"</f>
        <v>Sinapalo Village 3</v>
      </c>
      <c r="AA46" t="str">
        <f>"PO Box 494"</f>
        <v>PO Box 494</v>
      </c>
      <c r="AB46" t="str">
        <f>"Rota"</f>
        <v>Rota</v>
      </c>
      <c r="AC46" t="str">
        <f t="shared" si="4"/>
        <v>MP</v>
      </c>
      <c r="AD46" t="str">
        <f>"96951"</f>
        <v>96951</v>
      </c>
      <c r="AE46" t="str">
        <f t="shared" si="6"/>
        <v>UNITED STATES OF AMERICA</v>
      </c>
      <c r="AF46" t="str">
        <f>"Rota"</f>
        <v>Rota</v>
      </c>
      <c r="AG46" s="4" t="str">
        <f>"16705326225"</f>
        <v>16705326225</v>
      </c>
      <c r="AH46" t="str">
        <f>""</f>
        <v/>
      </c>
      <c r="AI46" t="str">
        <f>"4885"</f>
        <v>4885</v>
      </c>
      <c r="AJ46" t="s">
        <v>79</v>
      </c>
      <c r="AK46" t="s">
        <v>79</v>
      </c>
      <c r="AL46" t="s">
        <v>80</v>
      </c>
      <c r="AM46" t="s">
        <v>79</v>
      </c>
      <c r="AP46" t="str">
        <f>"Accountant"</f>
        <v>Accountant</v>
      </c>
      <c r="AQ46" t="str">
        <f>"13-2011.00"</f>
        <v>13-2011.00</v>
      </c>
      <c r="AR46" t="str">
        <f>"Accountants and Auditors"</f>
        <v>Accountants and Auditors</v>
      </c>
      <c r="AS46" t="str">
        <f>"Operation Manager"</f>
        <v>Operation Manager</v>
      </c>
      <c r="AT46" t="s">
        <v>79</v>
      </c>
      <c r="AU46" t="str">
        <f>""</f>
        <v/>
      </c>
      <c r="AV46" t="str">
        <f>""</f>
        <v/>
      </c>
      <c r="AW46" t="s">
        <v>79</v>
      </c>
      <c r="AX46" t="str">
        <f>""</f>
        <v/>
      </c>
      <c r="AY46" t="s">
        <v>95</v>
      </c>
      <c r="BA46" t="s">
        <v>130</v>
      </c>
      <c r="BB46" t="s">
        <v>79</v>
      </c>
      <c r="BD46" t="s">
        <v>79</v>
      </c>
      <c r="BG46" t="s">
        <v>82</v>
      </c>
      <c r="BH46">
        <v>12</v>
      </c>
      <c r="BI46" t="s">
        <v>131</v>
      </c>
      <c r="BJ46" t="s">
        <v>1597</v>
      </c>
      <c r="BK46" t="str">
        <f>"Sinapalo Village 3"</f>
        <v>Sinapalo Village 3</v>
      </c>
      <c r="BL46" t="str">
        <f>"PO Box 494"</f>
        <v>PO Box 494</v>
      </c>
      <c r="BM46" t="str">
        <f>"Rota"</f>
        <v>Rota</v>
      </c>
      <c r="BO46" t="s">
        <v>83</v>
      </c>
      <c r="BP46" s="4" t="str">
        <f>"96951"</f>
        <v>96951</v>
      </c>
      <c r="BQ46" t="s">
        <v>79</v>
      </c>
      <c r="BR46" t="str">
        <f>"13-2011.00"</f>
        <v>13-2011.00</v>
      </c>
      <c r="BS46" t="s">
        <v>133</v>
      </c>
      <c r="BT46" s="3">
        <v>16.190000000000001</v>
      </c>
      <c r="BU46" t="s">
        <v>80</v>
      </c>
      <c r="BV46" t="s">
        <v>90</v>
      </c>
      <c r="BW46" t="s">
        <v>92</v>
      </c>
      <c r="BZ46" s="1">
        <v>45107</v>
      </c>
    </row>
    <row r="47" spans="1:78" ht="15" customHeight="1" x14ac:dyDescent="0.25">
      <c r="A47" t="s">
        <v>1598</v>
      </c>
      <c r="B47" t="s">
        <v>94</v>
      </c>
      <c r="C47" s="1">
        <v>44876</v>
      </c>
      <c r="D47" s="1">
        <v>44918</v>
      </c>
      <c r="H47" t="s">
        <v>78</v>
      </c>
      <c r="I47" t="str">
        <f>"Mendiola"</f>
        <v>Mendiola</v>
      </c>
      <c r="J47" t="str">
        <f>"Nicolas"</f>
        <v>Nicolas</v>
      </c>
      <c r="K47" t="str">
        <f>"Manglona"</f>
        <v>Manglona</v>
      </c>
      <c r="L47" t="str">
        <f>"Operation Manager"</f>
        <v>Operation Manager</v>
      </c>
      <c r="M47" t="str">
        <f>"Sinapalo Village 3"</f>
        <v>Sinapalo Village 3</v>
      </c>
      <c r="N47" t="str">
        <f>"PO Box 494"</f>
        <v>PO Box 494</v>
      </c>
      <c r="O47" t="str">
        <f>"Rota"</f>
        <v>Rota</v>
      </c>
      <c r="P47" t="str">
        <f t="shared" si="11"/>
        <v>MP</v>
      </c>
      <c r="Q47" s="4" t="str">
        <f>"96951"</f>
        <v>96951</v>
      </c>
      <c r="R47" t="str">
        <f t="shared" si="3"/>
        <v>UNITED STATES OF AMERICA</v>
      </c>
      <c r="S47" t="str">
        <f>"CNMI"</f>
        <v>CNMI</v>
      </c>
      <c r="T47" s="5" t="str">
        <f>"16705326225"</f>
        <v>16705326225</v>
      </c>
      <c r="U47" t="str">
        <f>""</f>
        <v/>
      </c>
      <c r="V47" s="5" t="str">
        <f>""</f>
        <v/>
      </c>
      <c r="W47" t="str">
        <f>"nmiasset@gmail.com"</f>
        <v>nmiasset@gmail.com</v>
      </c>
      <c r="X47" t="str">
        <f>"NMI Asset Acquisition Inc"</f>
        <v>NMI Asset Acquisition Inc</v>
      </c>
      <c r="Y47" t="str">
        <f>"NMI Asset Acquisition Inc"</f>
        <v>NMI Asset Acquisition Inc</v>
      </c>
      <c r="Z47" t="str">
        <f>"Sinapalo Village 3"</f>
        <v>Sinapalo Village 3</v>
      </c>
      <c r="AA47" t="str">
        <f>"PO Box 494"</f>
        <v>PO Box 494</v>
      </c>
      <c r="AB47" t="str">
        <f>"Rota"</f>
        <v>Rota</v>
      </c>
      <c r="AC47" t="str">
        <f t="shared" si="4"/>
        <v>MP</v>
      </c>
      <c r="AD47" t="str">
        <f>"96951"</f>
        <v>96951</v>
      </c>
      <c r="AE47" t="str">
        <f t="shared" si="6"/>
        <v>UNITED STATES OF AMERICA</v>
      </c>
      <c r="AF47" t="str">
        <f>"CNMI"</f>
        <v>CNMI</v>
      </c>
      <c r="AG47" s="4" t="str">
        <f>"16705326225"</f>
        <v>16705326225</v>
      </c>
      <c r="AH47" t="str">
        <f>""</f>
        <v/>
      </c>
      <c r="AI47" t="str">
        <f>"48851"</f>
        <v>48851</v>
      </c>
      <c r="AJ47" t="s">
        <v>79</v>
      </c>
      <c r="AK47" t="s">
        <v>79</v>
      </c>
      <c r="AL47" t="s">
        <v>80</v>
      </c>
      <c r="AM47" t="s">
        <v>79</v>
      </c>
      <c r="AP47" t="str">
        <f>"Cargo and Freight Agent"</f>
        <v>Cargo and Freight Agent</v>
      </c>
      <c r="AQ47" t="str">
        <f>"43-5011.00"</f>
        <v>43-5011.00</v>
      </c>
      <c r="AR47" t="str">
        <f>"Cargo and Freight Agents"</f>
        <v>Cargo and Freight Agents</v>
      </c>
      <c r="AS47" t="str">
        <f>"Operation Manager"</f>
        <v>Operation Manager</v>
      </c>
      <c r="AT47" t="s">
        <v>79</v>
      </c>
      <c r="AU47" t="str">
        <f>""</f>
        <v/>
      </c>
      <c r="AV47" t="str">
        <f>""</f>
        <v/>
      </c>
      <c r="AW47" t="s">
        <v>79</v>
      </c>
      <c r="AX47" t="str">
        <f>""</f>
        <v/>
      </c>
      <c r="AY47" t="s">
        <v>84</v>
      </c>
      <c r="BA47" t="s">
        <v>119</v>
      </c>
      <c r="BB47" t="s">
        <v>79</v>
      </c>
      <c r="BD47" t="s">
        <v>79</v>
      </c>
      <c r="BG47" t="s">
        <v>82</v>
      </c>
      <c r="BH47">
        <v>3</v>
      </c>
      <c r="BI47" t="s">
        <v>1599</v>
      </c>
      <c r="BJ47" t="s">
        <v>1600</v>
      </c>
      <c r="BK47" t="str">
        <f>"Rota International Airport"</f>
        <v>Rota International Airport</v>
      </c>
      <c r="BL47" t="str">
        <f>"Sinapalo Village 1"</f>
        <v>Sinapalo Village 1</v>
      </c>
      <c r="BM47" t="str">
        <f>"Rota"</f>
        <v>Rota</v>
      </c>
      <c r="BO47" t="s">
        <v>83</v>
      </c>
      <c r="BP47" s="4" t="str">
        <f>"96951"</f>
        <v>96951</v>
      </c>
      <c r="BQ47" t="s">
        <v>79</v>
      </c>
      <c r="BR47" t="str">
        <f>"43-5011.00"</f>
        <v>43-5011.00</v>
      </c>
      <c r="BS47" t="s">
        <v>1601</v>
      </c>
      <c r="BT47" s="3">
        <v>8.94</v>
      </c>
      <c r="BU47" t="s">
        <v>80</v>
      </c>
      <c r="BV47" t="s">
        <v>90</v>
      </c>
      <c r="BW47" t="s">
        <v>92</v>
      </c>
      <c r="BZ47" s="1">
        <v>45107</v>
      </c>
    </row>
    <row r="48" spans="1:78" ht="15" customHeight="1" x14ac:dyDescent="0.25">
      <c r="A48" t="s">
        <v>1602</v>
      </c>
      <c r="B48" t="s">
        <v>94</v>
      </c>
      <c r="C48" s="1">
        <v>44876</v>
      </c>
      <c r="D48" s="1">
        <v>44918</v>
      </c>
      <c r="H48" t="s">
        <v>78</v>
      </c>
      <c r="I48" t="str">
        <f>"WANG"</f>
        <v>WANG</v>
      </c>
      <c r="J48" t="str">
        <f>"CHUN-CHI"</f>
        <v>CHUN-CHI</v>
      </c>
      <c r="K48" t="str">
        <f>"N/A"</f>
        <v>N/A</v>
      </c>
      <c r="L48" t="str">
        <f>"VICE PRESIDENT"</f>
        <v>VICE PRESIDENT</v>
      </c>
      <c r="M48" t="str">
        <f>"PMB 759 BOX 10003, AS LITO ROAD"</f>
        <v>PMB 759 BOX 10003, AS LITO ROAD</v>
      </c>
      <c r="N48" t="str">
        <f>"AS LITO ROAD"</f>
        <v>AS LITO ROAD</v>
      </c>
      <c r="O48" t="str">
        <f>"SAIPAN"</f>
        <v>SAIPAN</v>
      </c>
      <c r="P48" t="str">
        <f t="shared" si="11"/>
        <v>MP</v>
      </c>
      <c r="Q48" s="4" t="str">
        <f t="shared" ref="Q48:Q66" si="21">"96950"</f>
        <v>96950</v>
      </c>
      <c r="R48" t="str">
        <f t="shared" si="3"/>
        <v>UNITED STATES OF AMERICA</v>
      </c>
      <c r="S48" t="str">
        <f>"mp"</f>
        <v>mp</v>
      </c>
      <c r="T48" s="5" t="str">
        <f>"16702882888"</f>
        <v>16702882888</v>
      </c>
      <c r="U48" t="str">
        <f>""</f>
        <v/>
      </c>
      <c r="V48" s="5" t="str">
        <f>""</f>
        <v/>
      </c>
      <c r="W48" t="str">
        <f>"jichengcorporation@yahoo.com"</f>
        <v>jichengcorporation@yahoo.com</v>
      </c>
      <c r="X48" t="str">
        <f>"JICHENG (USA) CORPORATION"</f>
        <v>JICHENG (USA) CORPORATION</v>
      </c>
      <c r="Y48" t="str">
        <f>"JICHENG SUPPLIER OF CONSTRUCTION MATERIALS"</f>
        <v>JICHENG SUPPLIER OF CONSTRUCTION MATERIALS</v>
      </c>
      <c r="Z48" t="str">
        <f>"PMB 759 BOX 10003, AS LITO ROAD"</f>
        <v>PMB 759 BOX 10003, AS LITO ROAD</v>
      </c>
      <c r="AA48" t="str">
        <f>"AS LITO ROAD"</f>
        <v>AS LITO ROAD</v>
      </c>
      <c r="AB48" t="str">
        <f>"SAIPAN"</f>
        <v>SAIPAN</v>
      </c>
      <c r="AC48" t="str">
        <f t="shared" si="4"/>
        <v>MP</v>
      </c>
      <c r="AD48" t="str">
        <f t="shared" ref="AD48:AD66" si="22">"96950"</f>
        <v>96950</v>
      </c>
      <c r="AE48" t="str">
        <f t="shared" si="6"/>
        <v>UNITED STATES OF AMERICA</v>
      </c>
      <c r="AF48" t="str">
        <f>"MP"</f>
        <v>MP</v>
      </c>
      <c r="AG48" s="4" t="str">
        <f>"16702882888"</f>
        <v>16702882888</v>
      </c>
      <c r="AH48" t="str">
        <f>""</f>
        <v/>
      </c>
      <c r="AI48" t="str">
        <f>"4543"</f>
        <v>4543</v>
      </c>
      <c r="AJ48" t="s">
        <v>79</v>
      </c>
      <c r="AK48" t="s">
        <v>79</v>
      </c>
      <c r="AL48" t="s">
        <v>80</v>
      </c>
      <c r="AM48" t="s">
        <v>79</v>
      </c>
      <c r="AP48" t="str">
        <f>"ADVERTISING AND PROMOTION MANAGER"</f>
        <v>ADVERTISING AND PROMOTION MANAGER</v>
      </c>
      <c r="AQ48" t="str">
        <f>"11-2011.00"</f>
        <v>11-2011.00</v>
      </c>
      <c r="AR48" t="str">
        <f>"Advertising and Promotions Managers"</f>
        <v>Advertising and Promotions Managers</v>
      </c>
      <c r="AS48" t="str">
        <f>"PRESIDENT"</f>
        <v>PRESIDENT</v>
      </c>
      <c r="AT48" t="s">
        <v>79</v>
      </c>
      <c r="AU48" t="str">
        <f>""</f>
        <v/>
      </c>
      <c r="AV48" t="str">
        <f>""</f>
        <v/>
      </c>
      <c r="AW48" t="s">
        <v>79</v>
      </c>
      <c r="AX48" t="str">
        <f>""</f>
        <v/>
      </c>
      <c r="AY48" t="s">
        <v>84</v>
      </c>
      <c r="BA48" t="s">
        <v>80</v>
      </c>
      <c r="BB48" t="s">
        <v>79</v>
      </c>
      <c r="BD48" t="s">
        <v>79</v>
      </c>
      <c r="BG48" t="s">
        <v>82</v>
      </c>
      <c r="BH48">
        <v>12</v>
      </c>
      <c r="BI48" t="s">
        <v>1603</v>
      </c>
      <c r="BJ48" t="s">
        <v>1604</v>
      </c>
      <c r="BK48" t="str">
        <f>"AS LITO ROAD"</f>
        <v>AS LITO ROAD</v>
      </c>
      <c r="BL48" t="str">
        <f>"AS LITO"</f>
        <v>AS LITO</v>
      </c>
      <c r="BM48" t="str">
        <f>"SAIPAN"</f>
        <v>SAIPAN</v>
      </c>
      <c r="BO48" t="s">
        <v>83</v>
      </c>
      <c r="BP48" s="4" t="str">
        <f t="shared" ref="BP48:BP66" si="23">"96950"</f>
        <v>96950</v>
      </c>
      <c r="BQ48" t="s">
        <v>79</v>
      </c>
      <c r="BR48" t="str">
        <f>"11-2011.00"</f>
        <v>11-2011.00</v>
      </c>
      <c r="BS48" t="s">
        <v>1605</v>
      </c>
      <c r="BT48" s="3">
        <v>17.559999999999999</v>
      </c>
      <c r="BU48" t="s">
        <v>80</v>
      </c>
      <c r="BV48" t="s">
        <v>90</v>
      </c>
      <c r="BW48" t="s">
        <v>92</v>
      </c>
      <c r="BZ48" s="1">
        <v>45107</v>
      </c>
    </row>
    <row r="49" spans="1:78" ht="15" customHeight="1" x14ac:dyDescent="0.25">
      <c r="A49" t="s">
        <v>1606</v>
      </c>
      <c r="B49" t="s">
        <v>94</v>
      </c>
      <c r="C49" s="1">
        <v>44876</v>
      </c>
      <c r="D49" s="1">
        <v>44918</v>
      </c>
      <c r="H49" t="s">
        <v>78</v>
      </c>
      <c r="I49" t="str">
        <f>"Ada"</f>
        <v>Ada</v>
      </c>
      <c r="J49" t="str">
        <f>"Francisco"</f>
        <v>Francisco</v>
      </c>
      <c r="K49" t="str">
        <f>"Seman"</f>
        <v>Seman</v>
      </c>
      <c r="L49" t="str">
        <f>"Director of Human Resources"</f>
        <v>Director of Human Resources</v>
      </c>
      <c r="M49" t="str">
        <f>"Brigida St., Beach Road"</f>
        <v>Brigida St., Beach Road</v>
      </c>
      <c r="N49" t="str">
        <f>"Chalan Kanoa"</f>
        <v>Chalan Kanoa</v>
      </c>
      <c r="O49" t="str">
        <f>"Saipan"</f>
        <v>Saipan</v>
      </c>
      <c r="P49" t="str">
        <f t="shared" ref="P49:P80" si="24">"MP"</f>
        <v>MP</v>
      </c>
      <c r="Q49" s="4" t="str">
        <f t="shared" si="21"/>
        <v>96950</v>
      </c>
      <c r="R49" t="str">
        <f t="shared" si="3"/>
        <v>UNITED STATES OF AMERICA</v>
      </c>
      <c r="S49" t="str">
        <f>"MP"</f>
        <v>MP</v>
      </c>
      <c r="T49" s="5" t="str">
        <f>"16702341795"</f>
        <v>16702341795</v>
      </c>
      <c r="U49" t="str">
        <f>""</f>
        <v/>
      </c>
      <c r="V49" s="5" t="str">
        <f>""</f>
        <v/>
      </c>
      <c r="W49" t="str">
        <f>"hrtjsaipan@triplejsaipan.com"</f>
        <v>hrtjsaipan@triplejsaipan.com</v>
      </c>
      <c r="X49" t="str">
        <f>"Triple J Saipan, Inc."</f>
        <v>Triple J Saipan, Inc.</v>
      </c>
      <c r="Y49" t="str">
        <f>""</f>
        <v/>
      </c>
      <c r="Z49" t="str">
        <f>"Brigida St., Beach Road"</f>
        <v>Brigida St., Beach Road</v>
      </c>
      <c r="AA49" t="str">
        <f>"Chalan Kanoa"</f>
        <v>Chalan Kanoa</v>
      </c>
      <c r="AB49" t="str">
        <f>"Saipan"</f>
        <v>Saipan</v>
      </c>
      <c r="AC49" t="str">
        <f t="shared" si="4"/>
        <v>MP</v>
      </c>
      <c r="AD49" t="str">
        <f t="shared" si="22"/>
        <v>96950</v>
      </c>
      <c r="AE49" t="str">
        <f t="shared" si="6"/>
        <v>UNITED STATES OF AMERICA</v>
      </c>
      <c r="AF49" t="str">
        <f>"mp"</f>
        <v>mp</v>
      </c>
      <c r="AG49" s="4" t="str">
        <f>"16702341795"</f>
        <v>16702341795</v>
      </c>
      <c r="AH49" t="str">
        <f>""</f>
        <v/>
      </c>
      <c r="AI49" t="str">
        <f>"722513"</f>
        <v>722513</v>
      </c>
      <c r="AJ49" t="s">
        <v>79</v>
      </c>
      <c r="AK49" t="s">
        <v>79</v>
      </c>
      <c r="AL49" t="s">
        <v>80</v>
      </c>
      <c r="AM49" t="s">
        <v>79</v>
      </c>
      <c r="AP49" t="str">
        <f>"BAKER"</f>
        <v>BAKER</v>
      </c>
      <c r="AQ49" t="str">
        <f>"51-3011.00"</f>
        <v>51-3011.00</v>
      </c>
      <c r="AR49" t="str">
        <f>"Bakers"</f>
        <v>Bakers</v>
      </c>
      <c r="AS49" t="str">
        <f>"General Manager"</f>
        <v>General Manager</v>
      </c>
      <c r="AT49" t="s">
        <v>79</v>
      </c>
      <c r="AU49" t="str">
        <f>""</f>
        <v/>
      </c>
      <c r="AV49" t="str">
        <f>""</f>
        <v/>
      </c>
      <c r="AW49" t="s">
        <v>79</v>
      </c>
      <c r="AX49" t="str">
        <f>""</f>
        <v/>
      </c>
      <c r="AY49" t="s">
        <v>84</v>
      </c>
      <c r="BA49" t="s">
        <v>80</v>
      </c>
      <c r="BB49" t="s">
        <v>79</v>
      </c>
      <c r="BD49" t="s">
        <v>79</v>
      </c>
      <c r="BG49" t="s">
        <v>82</v>
      </c>
      <c r="BH49">
        <v>12</v>
      </c>
      <c r="BI49" t="s">
        <v>443</v>
      </c>
      <c r="BJ49" t="s">
        <v>1607</v>
      </c>
      <c r="BK49" t="str">
        <f>"BRIGIDA ST., BEACH ROAD"</f>
        <v>BRIGIDA ST., BEACH ROAD</v>
      </c>
      <c r="BL49" t="str">
        <f>"CHALAN KANOA, P.O. BOX 500487"</f>
        <v>CHALAN KANOA, P.O. BOX 500487</v>
      </c>
      <c r="BM49" t="str">
        <f>"SAIPAN"</f>
        <v>SAIPAN</v>
      </c>
      <c r="BO49" t="s">
        <v>83</v>
      </c>
      <c r="BP49" s="4" t="str">
        <f t="shared" si="23"/>
        <v>96950</v>
      </c>
      <c r="BQ49" t="s">
        <v>79</v>
      </c>
      <c r="BR49" t="str">
        <f>"51-3011.00"</f>
        <v>51-3011.00</v>
      </c>
      <c r="BS49" t="s">
        <v>331</v>
      </c>
      <c r="BT49" s="3">
        <v>8.19</v>
      </c>
      <c r="BU49" t="s">
        <v>80</v>
      </c>
      <c r="BV49" t="s">
        <v>90</v>
      </c>
      <c r="BW49" t="s">
        <v>92</v>
      </c>
      <c r="BZ49" s="1">
        <v>45107</v>
      </c>
    </row>
    <row r="50" spans="1:78" ht="15" customHeight="1" x14ac:dyDescent="0.25">
      <c r="A50" t="s">
        <v>1608</v>
      </c>
      <c r="B50" t="s">
        <v>94</v>
      </c>
      <c r="C50" s="1">
        <v>44876</v>
      </c>
      <c r="D50" s="1">
        <v>44918</v>
      </c>
      <c r="H50" t="s">
        <v>78</v>
      </c>
      <c r="I50" t="str">
        <f>"ADA"</f>
        <v>ADA</v>
      </c>
      <c r="J50" t="str">
        <f>"FRANCISCO"</f>
        <v>FRANCISCO</v>
      </c>
      <c r="K50" t="str">
        <f>"SEMAN"</f>
        <v>SEMAN</v>
      </c>
      <c r="L50" t="str">
        <f>"DIRECTOR OF HUMAN RESOURCES"</f>
        <v>DIRECTOR OF HUMAN RESOURCES</v>
      </c>
      <c r="M50" t="str">
        <f>"BRIGIDA ST., BEACH ROAD"</f>
        <v>BRIGIDA ST., BEACH ROAD</v>
      </c>
      <c r="N50" t="str">
        <f>"CHALAN KANOA"</f>
        <v>CHALAN KANOA</v>
      </c>
      <c r="O50" t="str">
        <f>"SAIPAN"</f>
        <v>SAIPAN</v>
      </c>
      <c r="P50" t="str">
        <f t="shared" si="24"/>
        <v>MP</v>
      </c>
      <c r="Q50" s="4" t="str">
        <f t="shared" si="21"/>
        <v>96950</v>
      </c>
      <c r="R50" t="str">
        <f t="shared" si="3"/>
        <v>UNITED STATES OF AMERICA</v>
      </c>
      <c r="S50" t="str">
        <f>"MP"</f>
        <v>MP</v>
      </c>
      <c r="T50" s="5" t="str">
        <f>"16702341795"</f>
        <v>16702341795</v>
      </c>
      <c r="U50" t="str">
        <f>""</f>
        <v/>
      </c>
      <c r="V50" s="5" t="str">
        <f>""</f>
        <v/>
      </c>
      <c r="W50" t="str">
        <f>"hrtjsaipan@triplejsaipan.com"</f>
        <v>hrtjsaipan@triplejsaipan.com</v>
      </c>
      <c r="X50" t="str">
        <f>"TRIPLE J SAIPAN, INC."</f>
        <v>TRIPLE J SAIPAN, INC.</v>
      </c>
      <c r="Y50" t="str">
        <f>""</f>
        <v/>
      </c>
      <c r="Z50" t="str">
        <f>"BRIGIDA ST., BEACH ROAD"</f>
        <v>BRIGIDA ST., BEACH ROAD</v>
      </c>
      <c r="AA50" t="str">
        <f>"CHALAN KANOA"</f>
        <v>CHALAN KANOA</v>
      </c>
      <c r="AB50" t="str">
        <f>"SAIPAN"</f>
        <v>SAIPAN</v>
      </c>
      <c r="AC50" t="str">
        <f t="shared" si="4"/>
        <v>MP</v>
      </c>
      <c r="AD50" t="str">
        <f t="shared" si="22"/>
        <v>96950</v>
      </c>
      <c r="AE50" t="str">
        <f t="shared" si="6"/>
        <v>UNITED STATES OF AMERICA</v>
      </c>
      <c r="AF50" t="str">
        <f>"MP"</f>
        <v>MP</v>
      </c>
      <c r="AG50" s="4" t="str">
        <f>"16702341795"</f>
        <v>16702341795</v>
      </c>
      <c r="AH50" t="str">
        <f>""</f>
        <v/>
      </c>
      <c r="AI50" t="str">
        <f>"45399"</f>
        <v>45399</v>
      </c>
      <c r="AJ50" t="s">
        <v>79</v>
      </c>
      <c r="AK50" t="s">
        <v>79</v>
      </c>
      <c r="AL50" t="s">
        <v>80</v>
      </c>
      <c r="AM50" t="s">
        <v>79</v>
      </c>
      <c r="AP50" t="str">
        <f>"MEAT CUTTER"</f>
        <v>MEAT CUTTER</v>
      </c>
      <c r="AQ50" t="str">
        <f>"51-3021.00"</f>
        <v>51-3021.00</v>
      </c>
      <c r="AR50" t="str">
        <f>"Butchers and Meat Cutters"</f>
        <v>Butchers and Meat Cutters</v>
      </c>
      <c r="AS50" t="str">
        <f>"GENERAL MANAGER"</f>
        <v>GENERAL MANAGER</v>
      </c>
      <c r="AT50" t="s">
        <v>79</v>
      </c>
      <c r="AU50" t="str">
        <f>""</f>
        <v/>
      </c>
      <c r="AV50" t="str">
        <f>""</f>
        <v/>
      </c>
      <c r="AW50" t="s">
        <v>79</v>
      </c>
      <c r="AX50" t="str">
        <f>""</f>
        <v/>
      </c>
      <c r="AY50" t="s">
        <v>84</v>
      </c>
      <c r="BA50" t="s">
        <v>80</v>
      </c>
      <c r="BB50" t="s">
        <v>79</v>
      </c>
      <c r="BD50" t="s">
        <v>79</v>
      </c>
      <c r="BG50" t="s">
        <v>82</v>
      </c>
      <c r="BH50">
        <v>3</v>
      </c>
      <c r="BI50" t="s">
        <v>1609</v>
      </c>
      <c r="BJ50" s="2" t="s">
        <v>1610</v>
      </c>
      <c r="BK50" t="str">
        <f>"BEACH ROAD, CHALAN KANOA"</f>
        <v>BEACH ROAD, CHALAN KANOA</v>
      </c>
      <c r="BL50" t="str">
        <f>"P.O. BOX 500487"</f>
        <v>P.O. BOX 500487</v>
      </c>
      <c r="BM50" t="str">
        <f>"SAIPAN"</f>
        <v>SAIPAN</v>
      </c>
      <c r="BO50" t="s">
        <v>83</v>
      </c>
      <c r="BP50" s="4" t="str">
        <f t="shared" si="23"/>
        <v>96950</v>
      </c>
      <c r="BQ50" t="s">
        <v>79</v>
      </c>
      <c r="BR50" t="str">
        <f>"51-3021.00"</f>
        <v>51-3021.00</v>
      </c>
      <c r="BS50" t="s">
        <v>674</v>
      </c>
      <c r="BT50" s="3">
        <v>8.2799999999999994</v>
      </c>
      <c r="BU50" t="s">
        <v>80</v>
      </c>
      <c r="BV50" t="s">
        <v>90</v>
      </c>
      <c r="BW50" t="s">
        <v>92</v>
      </c>
      <c r="BZ50" s="1">
        <v>45107</v>
      </c>
    </row>
    <row r="51" spans="1:78" ht="15" customHeight="1" x14ac:dyDescent="0.25">
      <c r="A51" t="s">
        <v>1582</v>
      </c>
      <c r="B51" t="s">
        <v>94</v>
      </c>
      <c r="C51" s="1">
        <v>44875</v>
      </c>
      <c r="D51" s="1">
        <v>44918</v>
      </c>
      <c r="H51" t="s">
        <v>78</v>
      </c>
      <c r="I51" t="str">
        <f>"ISLAM"</f>
        <v>ISLAM</v>
      </c>
      <c r="J51" t="str">
        <f>"MD KAMRUL"</f>
        <v>MD KAMRUL</v>
      </c>
      <c r="K51" t="str">
        <f>""</f>
        <v/>
      </c>
      <c r="L51" t="str">
        <f>"Proprietor"</f>
        <v>Proprietor</v>
      </c>
      <c r="M51" t="str">
        <f>"PO BOX 503235 CK"</f>
        <v>PO BOX 503235 CK</v>
      </c>
      <c r="N51" t="str">
        <f>""</f>
        <v/>
      </c>
      <c r="O51" t="str">
        <f>"SAIPAN"</f>
        <v>SAIPAN</v>
      </c>
      <c r="P51" t="str">
        <f t="shared" si="24"/>
        <v>MP</v>
      </c>
      <c r="Q51" s="4" t="str">
        <f t="shared" si="21"/>
        <v>96950</v>
      </c>
      <c r="R51" t="str">
        <f t="shared" si="3"/>
        <v>UNITED STATES OF AMERICA</v>
      </c>
      <c r="S51" t="str">
        <f>""</f>
        <v/>
      </c>
      <c r="T51" s="5" t="str">
        <f>"16702877992"</f>
        <v>16702877992</v>
      </c>
      <c r="U51" t="str">
        <f>""</f>
        <v/>
      </c>
      <c r="V51" s="5" t="str">
        <f>""</f>
        <v/>
      </c>
      <c r="W51" t="str">
        <f>"shemulkamrulislam@yahoo.com"</f>
        <v>shemulkamrulislam@yahoo.com</v>
      </c>
      <c r="X51" t="str">
        <f>"MD KAMRUL ISLAM"</f>
        <v>MD KAMRUL ISLAM</v>
      </c>
      <c r="Y51" t="str">
        <f>"UMME TAXI SERVICE                          "</f>
        <v xml:space="preserve">UMME TAXI SERVICE                          </v>
      </c>
      <c r="Z51" t="str">
        <f>"PO BOX  503235 CK"</f>
        <v>PO BOX  503235 CK</v>
      </c>
      <c r="AA51" t="str">
        <f>""</f>
        <v/>
      </c>
      <c r="AB51" t="str">
        <f>"SAIPAN "</f>
        <v xml:space="preserve">SAIPAN </v>
      </c>
      <c r="AC51" t="str">
        <f t="shared" si="4"/>
        <v>MP</v>
      </c>
      <c r="AD51" t="str">
        <f t="shared" si="22"/>
        <v>96950</v>
      </c>
      <c r="AE51" t="str">
        <f t="shared" si="6"/>
        <v>UNITED STATES OF AMERICA</v>
      </c>
      <c r="AF51" t="str">
        <f>""</f>
        <v/>
      </c>
      <c r="AG51" s="4" t="str">
        <f>"16702877992"</f>
        <v>16702877992</v>
      </c>
      <c r="AH51" t="str">
        <f>""</f>
        <v/>
      </c>
      <c r="AI51" t="str">
        <f>"48531"</f>
        <v>48531</v>
      </c>
      <c r="AJ51" t="s">
        <v>79</v>
      </c>
      <c r="AK51" t="s">
        <v>79</v>
      </c>
      <c r="AL51" t="s">
        <v>80</v>
      </c>
      <c r="AM51" t="s">
        <v>79</v>
      </c>
      <c r="AP51" t="str">
        <f>"Taxi Driver"</f>
        <v>Taxi Driver</v>
      </c>
      <c r="AQ51" t="str">
        <f>"53-3054.00"</f>
        <v>53-3054.00</v>
      </c>
      <c r="AR51" t="str">
        <f>"Taxi Drivers"</f>
        <v>Taxi Drivers</v>
      </c>
      <c r="AS51" t="str">
        <f>"Owner"</f>
        <v>Owner</v>
      </c>
      <c r="AT51" t="s">
        <v>79</v>
      </c>
      <c r="AU51" t="str">
        <f>""</f>
        <v/>
      </c>
      <c r="AV51" t="str">
        <f>""</f>
        <v/>
      </c>
      <c r="AW51" t="s">
        <v>79</v>
      </c>
      <c r="AX51" t="str">
        <f>""</f>
        <v/>
      </c>
      <c r="AY51" t="s">
        <v>81</v>
      </c>
      <c r="BA51" t="s">
        <v>81</v>
      </c>
      <c r="BB51" t="s">
        <v>79</v>
      </c>
      <c r="BD51" t="s">
        <v>79</v>
      </c>
      <c r="BG51" t="s">
        <v>82</v>
      </c>
      <c r="BH51">
        <v>6</v>
      </c>
      <c r="BI51" t="s">
        <v>1583</v>
      </c>
      <c r="BJ51" s="2" t="s">
        <v>1584</v>
      </c>
      <c r="BK51" t="str">
        <f>"San Antonio"</f>
        <v>San Antonio</v>
      </c>
      <c r="BL51" t="str">
        <f>""</f>
        <v/>
      </c>
      <c r="BM51" t="str">
        <f>"Saipan"</f>
        <v>Saipan</v>
      </c>
      <c r="BO51" t="s">
        <v>83</v>
      </c>
      <c r="BP51" s="4" t="str">
        <f t="shared" si="23"/>
        <v>96950</v>
      </c>
      <c r="BQ51" t="s">
        <v>79</v>
      </c>
      <c r="BR51" t="str">
        <f>"53-3054.00"</f>
        <v>53-3054.00</v>
      </c>
      <c r="BS51" t="s">
        <v>617</v>
      </c>
      <c r="BT51" s="3">
        <v>10.73</v>
      </c>
      <c r="BU51" t="s">
        <v>80</v>
      </c>
      <c r="BV51" t="s">
        <v>90</v>
      </c>
      <c r="BW51" t="s">
        <v>92</v>
      </c>
      <c r="BZ51" s="1">
        <v>45107</v>
      </c>
    </row>
    <row r="52" spans="1:78" ht="15" customHeight="1" x14ac:dyDescent="0.25">
      <c r="A52" t="s">
        <v>1585</v>
      </c>
      <c r="B52" t="s">
        <v>94</v>
      </c>
      <c r="C52" s="1">
        <v>44875</v>
      </c>
      <c r="D52" s="1">
        <v>44918</v>
      </c>
      <c r="H52" t="s">
        <v>78</v>
      </c>
      <c r="I52" t="str">
        <f>"SUYAPTO"</f>
        <v>SUYAPTO</v>
      </c>
      <c r="J52" t="str">
        <f>"OSWIN"</f>
        <v>OSWIN</v>
      </c>
      <c r="K52" t="str">
        <f>"ROY"</f>
        <v>ROY</v>
      </c>
      <c r="L52" t="str">
        <f>"PRESIDENT AND GENERAL MANAGER"</f>
        <v>PRESIDENT AND GENERAL MANAGER</v>
      </c>
      <c r="M52" t="str">
        <f>"P.O. BOX 503324"</f>
        <v>P.O. BOX 503324</v>
      </c>
      <c r="N52" t="str">
        <f>""</f>
        <v/>
      </c>
      <c r="O52" t="str">
        <f>"SAIPAN"</f>
        <v>SAIPAN</v>
      </c>
      <c r="P52" t="str">
        <f t="shared" si="24"/>
        <v>MP</v>
      </c>
      <c r="Q52" s="4" t="str">
        <f t="shared" si="21"/>
        <v>96950</v>
      </c>
      <c r="R52" t="str">
        <f t="shared" si="3"/>
        <v>UNITED STATES OF AMERICA</v>
      </c>
      <c r="S52" t="str">
        <f>""</f>
        <v/>
      </c>
      <c r="T52" s="5" t="str">
        <f>"15103906872"</f>
        <v>15103906872</v>
      </c>
      <c r="U52" t="str">
        <f>""</f>
        <v/>
      </c>
      <c r="V52" s="5" t="str">
        <f>""</f>
        <v/>
      </c>
      <c r="W52" t="str">
        <f>"oswins@win-pacific.com"</f>
        <v>oswins@win-pacific.com</v>
      </c>
      <c r="X52" t="str">
        <f>"WIN PACIFIC CORPORATION"</f>
        <v>WIN PACIFIC CORPORATION</v>
      </c>
      <c r="Y52" t="str">
        <f>"WIN ENTERPRISES"</f>
        <v>WIN ENTERPRISES</v>
      </c>
      <c r="Z52" t="str">
        <f>"P.O. BOX 503324"</f>
        <v>P.O. BOX 503324</v>
      </c>
      <c r="AA52" t="str">
        <f>""</f>
        <v/>
      </c>
      <c r="AB52" t="str">
        <f>"SAIPAN"</f>
        <v>SAIPAN</v>
      </c>
      <c r="AC52" t="str">
        <f t="shared" si="4"/>
        <v>MP</v>
      </c>
      <c r="AD52" t="str">
        <f t="shared" si="22"/>
        <v>96950</v>
      </c>
      <c r="AE52" t="str">
        <f t="shared" si="6"/>
        <v>UNITED STATES OF AMERICA</v>
      </c>
      <c r="AF52" t="str">
        <f>""</f>
        <v/>
      </c>
      <c r="AG52" s="4" t="str">
        <f>"15103906872"</f>
        <v>15103906872</v>
      </c>
      <c r="AH52" t="str">
        <f>""</f>
        <v/>
      </c>
      <c r="AI52" t="str">
        <f>"424410"</f>
        <v>424410</v>
      </c>
      <c r="AJ52" t="s">
        <v>79</v>
      </c>
      <c r="AK52" t="s">
        <v>79</v>
      </c>
      <c r="AL52" t="s">
        <v>80</v>
      </c>
      <c r="AM52" t="s">
        <v>79</v>
      </c>
      <c r="AP52" t="str">
        <f>"SALES REPRESENTATIVE"</f>
        <v>SALES REPRESENTATIVE</v>
      </c>
      <c r="AQ52" t="str">
        <f>"41-4012.00"</f>
        <v>41-4012.00</v>
      </c>
      <c r="AR52" t="str">
        <f>"Sales Representatives, Wholesale and Manufacturing, Except Technical and Scientific Products"</f>
        <v>Sales Representatives, Wholesale and Manufacturing, Except Technical and Scientific Products</v>
      </c>
      <c r="AS52" t="str">
        <f>"PRESIDENT AND GENERAL MANAGER"</f>
        <v>PRESIDENT AND GENERAL MANAGER</v>
      </c>
      <c r="AT52" t="s">
        <v>79</v>
      </c>
      <c r="AU52" t="str">
        <f>""</f>
        <v/>
      </c>
      <c r="AV52" t="str">
        <f>""</f>
        <v/>
      </c>
      <c r="AW52" t="s">
        <v>79</v>
      </c>
      <c r="AX52" t="str">
        <f>""</f>
        <v/>
      </c>
      <c r="AY52" t="s">
        <v>124</v>
      </c>
      <c r="BA52" t="s">
        <v>80</v>
      </c>
      <c r="BB52" t="s">
        <v>79</v>
      </c>
      <c r="BD52" t="s">
        <v>79</v>
      </c>
      <c r="BG52" t="s">
        <v>82</v>
      </c>
      <c r="BH52">
        <v>24</v>
      </c>
      <c r="BI52" t="s">
        <v>472</v>
      </c>
      <c r="BJ52" s="2" t="s">
        <v>1586</v>
      </c>
      <c r="BK52" t="str">
        <f>"TOWER PALACE, GUALO RAI"</f>
        <v>TOWER PALACE, GUALO RAI</v>
      </c>
      <c r="BL52" t="str">
        <f>""</f>
        <v/>
      </c>
      <c r="BM52" t="str">
        <f>"SAIPAN"</f>
        <v>SAIPAN</v>
      </c>
      <c r="BO52" t="s">
        <v>83</v>
      </c>
      <c r="BP52" s="4" t="str">
        <f t="shared" si="23"/>
        <v>96950</v>
      </c>
      <c r="BQ52" t="s">
        <v>79</v>
      </c>
      <c r="BR52" t="str">
        <f>"41-4012.00"</f>
        <v>41-4012.00</v>
      </c>
      <c r="BS52" t="s">
        <v>474</v>
      </c>
      <c r="BT52" s="3">
        <v>8.81</v>
      </c>
      <c r="BU52" t="s">
        <v>80</v>
      </c>
      <c r="BV52" t="s">
        <v>90</v>
      </c>
      <c r="BW52" t="s">
        <v>92</v>
      </c>
      <c r="BZ52" s="1">
        <v>45107</v>
      </c>
    </row>
    <row r="53" spans="1:78" ht="15" customHeight="1" x14ac:dyDescent="0.25">
      <c r="A53" t="s">
        <v>1587</v>
      </c>
      <c r="B53" t="s">
        <v>94</v>
      </c>
      <c r="C53" s="1">
        <v>44875</v>
      </c>
      <c r="D53" s="1">
        <v>44918</v>
      </c>
      <c r="H53" t="s">
        <v>78</v>
      </c>
      <c r="I53" t="str">
        <f>"Vereen"</f>
        <v>Vereen</v>
      </c>
      <c r="J53" t="str">
        <f>"Mark"</f>
        <v>Mark</v>
      </c>
      <c r="K53" t="str">
        <f>"Anthony"</f>
        <v>Anthony</v>
      </c>
      <c r="L53" t="str">
        <f>"General Manager"</f>
        <v>General Manager</v>
      </c>
      <c r="M53" t="str">
        <f>"PMB139 P.O. Box 10000"</f>
        <v>PMB139 P.O. Box 10000</v>
      </c>
      <c r="N53" t="str">
        <f>"Naftan Road, Route 304"</f>
        <v>Naftan Road, Route 304</v>
      </c>
      <c r="O53" t="str">
        <f>"Saipan"</f>
        <v>Saipan</v>
      </c>
      <c r="P53" t="str">
        <f t="shared" si="24"/>
        <v>MP</v>
      </c>
      <c r="Q53" s="4" t="str">
        <f t="shared" si="21"/>
        <v>96950</v>
      </c>
      <c r="R53" t="str">
        <f t="shared" si="3"/>
        <v>UNITED STATES OF AMERICA</v>
      </c>
      <c r="S53" t="str">
        <f>"Marianas Province"</f>
        <v>Marianas Province</v>
      </c>
      <c r="T53" s="5" t="str">
        <f>"16702880407"</f>
        <v>16702880407</v>
      </c>
      <c r="U53" t="str">
        <f>"301"</f>
        <v>301</v>
      </c>
      <c r="V53" s="5" t="str">
        <f>""</f>
        <v/>
      </c>
      <c r="W53" t="str">
        <f>"mvereen@hawaiianrock.com"</f>
        <v>mvereen@hawaiianrock.com</v>
      </c>
      <c r="X53" t="str">
        <f>"Hawaiian Rock Products Corporation"</f>
        <v>Hawaiian Rock Products Corporation</v>
      </c>
      <c r="Y53" t="str">
        <f>"Hawaiian Rock Products"</f>
        <v>Hawaiian Rock Products</v>
      </c>
      <c r="Z53" t="str">
        <f>"PMB 139 P.O. Box 10000"</f>
        <v>PMB 139 P.O. Box 10000</v>
      </c>
      <c r="AA53" t="str">
        <f>"Naftan Road, Route 304"</f>
        <v>Naftan Road, Route 304</v>
      </c>
      <c r="AB53" t="str">
        <f>"Saipan"</f>
        <v>Saipan</v>
      </c>
      <c r="AC53" t="str">
        <f t="shared" si="4"/>
        <v>MP</v>
      </c>
      <c r="AD53" t="str">
        <f t="shared" si="22"/>
        <v>96950</v>
      </c>
      <c r="AE53" t="str">
        <f t="shared" si="6"/>
        <v>UNITED STATES OF AMERICA</v>
      </c>
      <c r="AF53" t="str">
        <f>"MP"</f>
        <v>MP</v>
      </c>
      <c r="AG53" s="4" t="str">
        <f>"16702880407"</f>
        <v>16702880407</v>
      </c>
      <c r="AH53" t="str">
        <f>"301"</f>
        <v>301</v>
      </c>
      <c r="AI53" t="str">
        <f>"212312"</f>
        <v>212312</v>
      </c>
      <c r="AJ53" t="s">
        <v>79</v>
      </c>
      <c r="AK53" t="s">
        <v>79</v>
      </c>
      <c r="AL53" t="s">
        <v>80</v>
      </c>
      <c r="AM53" t="s">
        <v>79</v>
      </c>
      <c r="AP53" t="str">
        <f>"Accountant"</f>
        <v>Accountant</v>
      </c>
      <c r="AQ53" t="str">
        <f>"13-2011.00"</f>
        <v>13-2011.00</v>
      </c>
      <c r="AR53" t="str">
        <f>"Accountants and Auditors"</f>
        <v>Accountants and Auditors</v>
      </c>
      <c r="AS53" t="str">
        <f>"Office Manager"</f>
        <v>Office Manager</v>
      </c>
      <c r="AT53" t="s">
        <v>79</v>
      </c>
      <c r="AU53" t="str">
        <f>""</f>
        <v/>
      </c>
      <c r="AV53" t="str">
        <f>""</f>
        <v/>
      </c>
      <c r="AW53" t="s">
        <v>79</v>
      </c>
      <c r="AX53" t="str">
        <f>""</f>
        <v/>
      </c>
      <c r="AY53" t="s">
        <v>95</v>
      </c>
      <c r="BA53" t="s">
        <v>130</v>
      </c>
      <c r="BB53" t="s">
        <v>79</v>
      </c>
      <c r="BD53" t="s">
        <v>79</v>
      </c>
      <c r="BG53" t="s">
        <v>82</v>
      </c>
      <c r="BH53">
        <v>48</v>
      </c>
      <c r="BI53" t="s">
        <v>130</v>
      </c>
      <c r="BJ53" t="s">
        <v>1588</v>
      </c>
      <c r="BK53" t="str">
        <f>"Naftan Road, Route 304"</f>
        <v>Naftan Road, Route 304</v>
      </c>
      <c r="BL53" t="str">
        <f>""</f>
        <v/>
      </c>
      <c r="BM53" t="str">
        <f>"Saipan"</f>
        <v>Saipan</v>
      </c>
      <c r="BO53" t="s">
        <v>83</v>
      </c>
      <c r="BP53" s="4" t="str">
        <f t="shared" si="23"/>
        <v>96950</v>
      </c>
      <c r="BQ53" t="s">
        <v>79</v>
      </c>
      <c r="BR53" t="str">
        <f>"13-2011.00"</f>
        <v>13-2011.00</v>
      </c>
      <c r="BS53" t="s">
        <v>133</v>
      </c>
      <c r="BT53" s="3">
        <v>16.190000000000001</v>
      </c>
      <c r="BU53" t="s">
        <v>80</v>
      </c>
      <c r="BV53" t="s">
        <v>90</v>
      </c>
      <c r="BW53" t="s">
        <v>92</v>
      </c>
      <c r="BZ53" s="1">
        <v>45107</v>
      </c>
    </row>
    <row r="54" spans="1:78" ht="15" customHeight="1" x14ac:dyDescent="0.25">
      <c r="A54" t="s">
        <v>1589</v>
      </c>
      <c r="B54" t="s">
        <v>94</v>
      </c>
      <c r="C54" s="1">
        <v>44875</v>
      </c>
      <c r="D54" s="1">
        <v>44918</v>
      </c>
      <c r="H54" t="s">
        <v>78</v>
      </c>
      <c r="I54" t="str">
        <f>"TA"</f>
        <v>TA</v>
      </c>
      <c r="J54" t="str">
        <f>"KUY"</f>
        <v>KUY</v>
      </c>
      <c r="K54" t="str">
        <f>"BUN"</f>
        <v>BUN</v>
      </c>
      <c r="L54" t="str">
        <f>"PRESIDENT"</f>
        <v>PRESIDENT</v>
      </c>
      <c r="M54" t="str">
        <f>"P.O. BOX 501328"</f>
        <v>P.O. BOX 501328</v>
      </c>
      <c r="N54" t="str">
        <f>"BEACH ROAD, GARARPAN"</f>
        <v>BEACH ROAD, GARARPAN</v>
      </c>
      <c r="O54" t="str">
        <f>"SAIPAN"</f>
        <v>SAIPAN</v>
      </c>
      <c r="P54" t="str">
        <f t="shared" si="24"/>
        <v>MP</v>
      </c>
      <c r="Q54" s="4" t="str">
        <f t="shared" si="21"/>
        <v>96950</v>
      </c>
      <c r="R54" t="str">
        <f t="shared" si="3"/>
        <v>UNITED STATES OF AMERICA</v>
      </c>
      <c r="S54" t="str">
        <f>""</f>
        <v/>
      </c>
      <c r="T54" s="5" t="str">
        <f>"16702332288"</f>
        <v>16702332288</v>
      </c>
      <c r="U54" t="str">
        <f>""</f>
        <v/>
      </c>
      <c r="V54" s="5" t="str">
        <f>""</f>
        <v/>
      </c>
      <c r="W54" t="str">
        <f>"micprt@gmail.com"</f>
        <v>micprt@gmail.com</v>
      </c>
      <c r="X54" t="str">
        <f>"KEEBENTTON INTERNATIONAL, INC."</f>
        <v>KEEBENTTON INTERNATIONAL, INC.</v>
      </c>
      <c r="Y54" t="str">
        <f>"SERENITY SALON &amp; SPA"</f>
        <v>SERENITY SALON &amp; SPA</v>
      </c>
      <c r="Z54" t="str">
        <f>"BEACH ROAD, GARAPAN, 2nd FLR OF DOLLAR DAYS WHOLESALE"</f>
        <v>BEACH ROAD, GARAPAN, 2nd FLR OF DOLLAR DAYS WHOLESALE</v>
      </c>
      <c r="AA54" t="str">
        <f>"PO BOX 501328"</f>
        <v>PO BOX 501328</v>
      </c>
      <c r="AB54" t="str">
        <f>"SAIPAN"</f>
        <v>SAIPAN</v>
      </c>
      <c r="AC54" t="str">
        <f t="shared" si="4"/>
        <v>MP</v>
      </c>
      <c r="AD54" t="str">
        <f t="shared" si="22"/>
        <v>96950</v>
      </c>
      <c r="AE54" t="str">
        <f t="shared" si="6"/>
        <v>UNITED STATES OF AMERICA</v>
      </c>
      <c r="AF54" t="str">
        <f>""</f>
        <v/>
      </c>
      <c r="AG54" s="4" t="str">
        <f>"16702332288"</f>
        <v>16702332288</v>
      </c>
      <c r="AH54" t="str">
        <f>""</f>
        <v/>
      </c>
      <c r="AI54" t="str">
        <f>"812112"</f>
        <v>812112</v>
      </c>
      <c r="AJ54" t="s">
        <v>79</v>
      </c>
      <c r="AK54" t="s">
        <v>79</v>
      </c>
      <c r="AL54" t="s">
        <v>80</v>
      </c>
      <c r="AM54" t="s">
        <v>79</v>
      </c>
      <c r="AP54" t="str">
        <f>"COSMETOLOGIST"</f>
        <v>COSMETOLOGIST</v>
      </c>
      <c r="AQ54" t="str">
        <f>"39-5012.00"</f>
        <v>39-5012.00</v>
      </c>
      <c r="AR54" t="str">
        <f>"Hairdressers, Hairstylists, and Cosmetologists"</f>
        <v>Hairdressers, Hairstylists, and Cosmetologists</v>
      </c>
      <c r="AS54" t="str">
        <f>"PRESIDENT"</f>
        <v>PRESIDENT</v>
      </c>
      <c r="AT54" t="s">
        <v>79</v>
      </c>
      <c r="AU54" t="str">
        <f>""</f>
        <v/>
      </c>
      <c r="AV54" t="str">
        <f>""</f>
        <v/>
      </c>
      <c r="AW54" t="s">
        <v>79</v>
      </c>
      <c r="AX54" t="str">
        <f>""</f>
        <v/>
      </c>
      <c r="AY54" t="s">
        <v>84</v>
      </c>
      <c r="BA54" t="s">
        <v>115</v>
      </c>
      <c r="BB54" t="s">
        <v>79</v>
      </c>
      <c r="BD54" t="s">
        <v>79</v>
      </c>
      <c r="BG54" t="s">
        <v>82</v>
      </c>
      <c r="BH54">
        <v>12</v>
      </c>
      <c r="BI54" t="s">
        <v>1590</v>
      </c>
      <c r="BJ54" t="s">
        <v>115</v>
      </c>
      <c r="BK54" t="str">
        <f>"BEACH ROAD, GARAPAN, 2nd FLR OF DOLLAR DAYS WHOLESALE"</f>
        <v>BEACH ROAD, GARAPAN, 2nd FLR OF DOLLAR DAYS WHOLESALE</v>
      </c>
      <c r="BL54" t="str">
        <f>"PO BOX 501328"</f>
        <v>PO BOX 501328</v>
      </c>
      <c r="BM54" t="str">
        <f>"SAIPAN"</f>
        <v>SAIPAN</v>
      </c>
      <c r="BO54" t="s">
        <v>83</v>
      </c>
      <c r="BP54" s="4" t="str">
        <f t="shared" si="23"/>
        <v>96950</v>
      </c>
      <c r="BQ54" t="s">
        <v>79</v>
      </c>
      <c r="BR54" t="str">
        <f>"39-5012.00"</f>
        <v>39-5012.00</v>
      </c>
      <c r="BS54" t="s">
        <v>184</v>
      </c>
      <c r="BT54" s="3">
        <v>7.88</v>
      </c>
      <c r="BU54" t="s">
        <v>80</v>
      </c>
      <c r="BV54" t="s">
        <v>90</v>
      </c>
      <c r="BW54" t="s">
        <v>92</v>
      </c>
      <c r="BZ54" s="1">
        <v>45107</v>
      </c>
    </row>
    <row r="55" spans="1:78" ht="15" customHeight="1" x14ac:dyDescent="0.25">
      <c r="A55" t="s">
        <v>1441</v>
      </c>
      <c r="B55" t="s">
        <v>94</v>
      </c>
      <c r="C55" s="1">
        <v>44868</v>
      </c>
      <c r="D55" s="1">
        <v>44918</v>
      </c>
      <c r="H55" t="s">
        <v>78</v>
      </c>
      <c r="I55" t="str">
        <f>"MASILUNGAN"</f>
        <v>MASILUNGAN</v>
      </c>
      <c r="J55" t="str">
        <f>"MARCELO"</f>
        <v>MARCELO</v>
      </c>
      <c r="K55" t="str">
        <f>"VILLEGAS"</f>
        <v>VILLEGAS</v>
      </c>
      <c r="L55" t="str">
        <f>"President"</f>
        <v>President</v>
      </c>
      <c r="M55" t="str">
        <f>"Asusena Avenue, Garapan Village"</f>
        <v>Asusena Avenue, Garapan Village</v>
      </c>
      <c r="N55" t="str">
        <f>""</f>
        <v/>
      </c>
      <c r="O55" t="str">
        <f>"Saipan"</f>
        <v>Saipan</v>
      </c>
      <c r="P55" t="str">
        <f t="shared" si="24"/>
        <v>MP</v>
      </c>
      <c r="Q55" s="4" t="str">
        <f t="shared" si="21"/>
        <v>96950</v>
      </c>
      <c r="R55" t="str">
        <f t="shared" si="3"/>
        <v>UNITED STATES OF AMERICA</v>
      </c>
      <c r="S55" t="str">
        <f>""</f>
        <v/>
      </c>
      <c r="T55" s="5" t="str">
        <f>"16702339442"</f>
        <v>16702339442</v>
      </c>
      <c r="U55" t="str">
        <f>""</f>
        <v/>
      </c>
      <c r="V55" s="5" t="str">
        <f>""</f>
        <v/>
      </c>
      <c r="W55" t="str">
        <f>"supertech@supertechsaipan.com"</f>
        <v>supertech@supertechsaipan.com</v>
      </c>
      <c r="X55" t="str">
        <f>"SUPERTECH, INC."</f>
        <v>SUPERTECH, INC.</v>
      </c>
      <c r="Y55" t="str">
        <f>"WHITE COCONUT COMPUTER SERVICES"</f>
        <v>WHITE COCONUT COMPUTER SERVICES</v>
      </c>
      <c r="Z55" t="str">
        <f>"Asusena Avenue, Garapan Village"</f>
        <v>Asusena Avenue, Garapan Village</v>
      </c>
      <c r="AA55" t="str">
        <f>""</f>
        <v/>
      </c>
      <c r="AB55" t="str">
        <f>"Saipan"</f>
        <v>Saipan</v>
      </c>
      <c r="AC55" t="str">
        <f t="shared" si="4"/>
        <v>MP</v>
      </c>
      <c r="AD55" t="str">
        <f t="shared" si="22"/>
        <v>96950</v>
      </c>
      <c r="AE55" t="str">
        <f t="shared" si="6"/>
        <v>UNITED STATES OF AMERICA</v>
      </c>
      <c r="AF55" t="str">
        <f>""</f>
        <v/>
      </c>
      <c r="AG55" s="4" t="str">
        <f>"16702339442"</f>
        <v>16702339442</v>
      </c>
      <c r="AH55" t="str">
        <f>""</f>
        <v/>
      </c>
      <c r="AI55" t="str">
        <f>"443142"</f>
        <v>443142</v>
      </c>
      <c r="AJ55" t="s">
        <v>79</v>
      </c>
      <c r="AK55" t="s">
        <v>79</v>
      </c>
      <c r="AL55" t="s">
        <v>80</v>
      </c>
      <c r="AM55" t="s">
        <v>79</v>
      </c>
      <c r="AP55" t="str">
        <f>"Maintenance and Repair Workers, General"</f>
        <v>Maintenance and Repair Workers, General</v>
      </c>
      <c r="AQ55" t="str">
        <f>"49-9071.00"</f>
        <v>49-9071.00</v>
      </c>
      <c r="AR55" t="str">
        <f>"Maintenance and Repair Workers, General"</f>
        <v>Maintenance and Repair Workers, General</v>
      </c>
      <c r="AS55" t="str">
        <f>"n/a"</f>
        <v>n/a</v>
      </c>
      <c r="AT55" t="s">
        <v>79</v>
      </c>
      <c r="AU55" t="str">
        <f>""</f>
        <v/>
      </c>
      <c r="AV55" t="str">
        <f>""</f>
        <v/>
      </c>
      <c r="AW55" t="s">
        <v>79</v>
      </c>
      <c r="AX55" t="str">
        <f>""</f>
        <v/>
      </c>
      <c r="AY55" t="s">
        <v>84</v>
      </c>
      <c r="BA55" t="s">
        <v>119</v>
      </c>
      <c r="BB55" t="s">
        <v>79</v>
      </c>
      <c r="BD55" t="s">
        <v>79</v>
      </c>
      <c r="BG55" t="s">
        <v>82</v>
      </c>
      <c r="BH55">
        <v>12</v>
      </c>
      <c r="BI55" t="s">
        <v>146</v>
      </c>
      <c r="BJ55" t="s">
        <v>1442</v>
      </c>
      <c r="BK55" t="str">
        <f>"Asusena Avenue, Garapan Village"</f>
        <v>Asusena Avenue, Garapan Village</v>
      </c>
      <c r="BL55" t="str">
        <f>""</f>
        <v/>
      </c>
      <c r="BM55" t="str">
        <f>"Saipan"</f>
        <v>Saipan</v>
      </c>
      <c r="BO55" t="s">
        <v>83</v>
      </c>
      <c r="BP55" s="4" t="str">
        <f t="shared" si="23"/>
        <v>96950</v>
      </c>
      <c r="BQ55" t="s">
        <v>82</v>
      </c>
      <c r="BR55" t="str">
        <f>"49-9071.00"</f>
        <v>49-9071.00</v>
      </c>
      <c r="BS55" t="s">
        <v>146</v>
      </c>
      <c r="BT55" s="3">
        <v>9.19</v>
      </c>
      <c r="BU55" t="s">
        <v>80</v>
      </c>
      <c r="BV55" t="s">
        <v>90</v>
      </c>
      <c r="BW55" t="s">
        <v>92</v>
      </c>
      <c r="BZ55" s="1">
        <v>45107</v>
      </c>
    </row>
    <row r="56" spans="1:78" ht="15" customHeight="1" x14ac:dyDescent="0.25">
      <c r="A56" t="s">
        <v>1315</v>
      </c>
      <c r="B56" t="s">
        <v>94</v>
      </c>
      <c r="C56" s="1">
        <v>44862</v>
      </c>
      <c r="D56" s="1">
        <v>44918</v>
      </c>
      <c r="H56" t="s">
        <v>78</v>
      </c>
      <c r="I56" t="str">
        <f>"Maria"</f>
        <v>Maria</v>
      </c>
      <c r="J56" t="str">
        <f>"Beltran"</f>
        <v>Beltran</v>
      </c>
      <c r="K56" t="str">
        <f>"Butiong"</f>
        <v>Butiong</v>
      </c>
      <c r="L56" t="str">
        <f>"Accounting Manager"</f>
        <v>Accounting Manager</v>
      </c>
      <c r="M56" t="str">
        <f>"PMB 1020 PO Box 10000"</f>
        <v>PMB 1020 PO Box 10000</v>
      </c>
      <c r="N56" t="str">
        <f>"Kagman Rd Rte 34"</f>
        <v>Kagman Rd Rte 34</v>
      </c>
      <c r="O56" t="str">
        <f>"Saipan"</f>
        <v>Saipan</v>
      </c>
      <c r="P56" t="str">
        <f t="shared" si="24"/>
        <v>MP</v>
      </c>
      <c r="Q56" s="4" t="str">
        <f t="shared" si="21"/>
        <v>96950</v>
      </c>
      <c r="R56" t="str">
        <f t="shared" si="3"/>
        <v>UNITED STATES OF AMERICA</v>
      </c>
      <c r="S56" t="str">
        <f>"Kagman III"</f>
        <v>Kagman III</v>
      </c>
      <c r="T56" s="5" t="str">
        <f>"16702368874"</f>
        <v>16702368874</v>
      </c>
      <c r="U56" t="str">
        <f>""</f>
        <v/>
      </c>
      <c r="V56" s="5" t="str">
        <f>""</f>
        <v/>
      </c>
      <c r="W56" t="str">
        <f>"mbeltran@laolaobaygolf.com"</f>
        <v>mbeltran@laolaobaygolf.com</v>
      </c>
      <c r="X56" t="str">
        <f>"Saipan Laulau Development, Inc."</f>
        <v>Saipan Laulau Development, Inc.</v>
      </c>
      <c r="Y56" t="str">
        <f>"Laolao Bay Golf &amp; Resort"</f>
        <v>Laolao Bay Golf &amp; Resort</v>
      </c>
      <c r="Z56" t="str">
        <f>"PMB 1020 PO Box 10000"</f>
        <v>PMB 1020 PO Box 10000</v>
      </c>
      <c r="AA56" t="str">
        <f>"Kagman Rd Rte 34"</f>
        <v>Kagman Rd Rte 34</v>
      </c>
      <c r="AB56" t="str">
        <f>"Saipan"</f>
        <v>Saipan</v>
      </c>
      <c r="AC56" t="str">
        <f t="shared" si="4"/>
        <v>MP</v>
      </c>
      <c r="AD56" t="str">
        <f t="shared" si="22"/>
        <v>96950</v>
      </c>
      <c r="AE56" t="str">
        <f t="shared" si="6"/>
        <v>UNITED STATES OF AMERICA</v>
      </c>
      <c r="AF56" t="str">
        <f>"Kagman III"</f>
        <v>Kagman III</v>
      </c>
      <c r="AG56" s="4" t="str">
        <f>"16702368888"</f>
        <v>16702368888</v>
      </c>
      <c r="AH56" t="str">
        <f>""</f>
        <v/>
      </c>
      <c r="AI56" t="str">
        <f>"713910"</f>
        <v>713910</v>
      </c>
      <c r="AJ56" t="s">
        <v>79</v>
      </c>
      <c r="AK56" t="s">
        <v>79</v>
      </c>
      <c r="AL56" t="s">
        <v>80</v>
      </c>
      <c r="AM56" t="s">
        <v>79</v>
      </c>
      <c r="AP56" t="str">
        <f>"Chef De Partie"</f>
        <v>Chef De Partie</v>
      </c>
      <c r="AQ56" t="str">
        <f>"35-1012.00"</f>
        <v>35-1012.00</v>
      </c>
      <c r="AR56" t="str">
        <f>"First-Line Supervisors of Food Preparation and Serving Workers"</f>
        <v>First-Line Supervisors of Food Preparation and Serving Workers</v>
      </c>
      <c r="AS56" t="str">
        <f>"Sous Chef"</f>
        <v>Sous Chef</v>
      </c>
      <c r="AT56" t="s">
        <v>82</v>
      </c>
      <c r="AU56" t="str">
        <f>"5"</f>
        <v>5</v>
      </c>
      <c r="AV56" t="str">
        <f>"Subordinate"</f>
        <v>Subordinate</v>
      </c>
      <c r="AW56" t="s">
        <v>79</v>
      </c>
      <c r="AX56" t="str">
        <f>""</f>
        <v/>
      </c>
      <c r="AY56" t="s">
        <v>84</v>
      </c>
      <c r="BA56" t="s">
        <v>119</v>
      </c>
      <c r="BB56" t="s">
        <v>79</v>
      </c>
      <c r="BD56" t="s">
        <v>79</v>
      </c>
      <c r="BG56" t="s">
        <v>82</v>
      </c>
      <c r="BH56">
        <v>12</v>
      </c>
      <c r="BI56" t="s">
        <v>1316</v>
      </c>
      <c r="BJ56" t="s">
        <v>1317</v>
      </c>
      <c r="BK56" t="str">
        <f>"Kagman Rd Rte 34"</f>
        <v>Kagman Rd Rte 34</v>
      </c>
      <c r="BL56" t="str">
        <f>"PMB 1020 PO Box 10000"</f>
        <v>PMB 1020 PO Box 10000</v>
      </c>
      <c r="BM56" t="str">
        <f>"Saipan"</f>
        <v>Saipan</v>
      </c>
      <c r="BO56" t="s">
        <v>83</v>
      </c>
      <c r="BP56" s="4" t="str">
        <f t="shared" si="23"/>
        <v>96950</v>
      </c>
      <c r="BQ56" t="s">
        <v>79</v>
      </c>
      <c r="BR56" t="str">
        <f>"35-1012.00"</f>
        <v>35-1012.00</v>
      </c>
      <c r="BS56" t="s">
        <v>694</v>
      </c>
      <c r="BT56" s="3">
        <v>9.75</v>
      </c>
      <c r="BU56" t="s">
        <v>80</v>
      </c>
      <c r="BV56" t="s">
        <v>90</v>
      </c>
      <c r="BW56" t="s">
        <v>92</v>
      </c>
      <c r="BZ56" s="1">
        <v>45107</v>
      </c>
    </row>
    <row r="57" spans="1:78" ht="15" customHeight="1" x14ac:dyDescent="0.25">
      <c r="A57" t="s">
        <v>1574</v>
      </c>
      <c r="B57" t="s">
        <v>94</v>
      </c>
      <c r="C57" s="1">
        <v>44874</v>
      </c>
      <c r="D57" s="1">
        <v>44915</v>
      </c>
      <c r="H57" t="s">
        <v>78</v>
      </c>
      <c r="I57" t="str">
        <f>"Martinez"</f>
        <v>Martinez</v>
      </c>
      <c r="J57" t="str">
        <f>"Femina"</f>
        <v>Femina</v>
      </c>
      <c r="K57" t="str">
        <f>"Tobias"</f>
        <v>Tobias</v>
      </c>
      <c r="L57" t="str">
        <f>"President"</f>
        <v>President</v>
      </c>
      <c r="M57" t="str">
        <f>"PO Box 7841 SVRB"</f>
        <v>PO Box 7841 SVRB</v>
      </c>
      <c r="N57" t="str">
        <f>""</f>
        <v/>
      </c>
      <c r="O57" t="str">
        <f>"Saipan"</f>
        <v>Saipan</v>
      </c>
      <c r="P57" t="str">
        <f t="shared" si="24"/>
        <v>MP</v>
      </c>
      <c r="Q57" s="4" t="str">
        <f t="shared" si="21"/>
        <v>96950</v>
      </c>
      <c r="R57" t="str">
        <f t="shared" si="3"/>
        <v>UNITED STATES OF AMERICA</v>
      </c>
      <c r="S57" t="str">
        <f>""</f>
        <v/>
      </c>
      <c r="T57" s="5" t="str">
        <f>"16707854777"</f>
        <v>16707854777</v>
      </c>
      <c r="U57" t="str">
        <f>""</f>
        <v/>
      </c>
      <c r="V57" s="5" t="str">
        <f>""</f>
        <v/>
      </c>
      <c r="W57" t="str">
        <f>"minamartinez1965@gmail.com"</f>
        <v>minamartinez1965@gmail.com</v>
      </c>
      <c r="X57" t="str">
        <f>"HPG Construction Co."</f>
        <v>HPG Construction Co.</v>
      </c>
      <c r="Y57" t="str">
        <f>""</f>
        <v/>
      </c>
      <c r="Z57" t="str">
        <f>"PO Box 7841 SVRB"</f>
        <v>PO Box 7841 SVRB</v>
      </c>
      <c r="AA57" t="str">
        <f>""</f>
        <v/>
      </c>
      <c r="AB57" t="str">
        <f>"Saipan"</f>
        <v>Saipan</v>
      </c>
      <c r="AC57" t="str">
        <f t="shared" si="4"/>
        <v>MP</v>
      </c>
      <c r="AD57" t="str">
        <f t="shared" si="22"/>
        <v>96950</v>
      </c>
      <c r="AE57" t="str">
        <f t="shared" si="6"/>
        <v>UNITED STATES OF AMERICA</v>
      </c>
      <c r="AF57" t="str">
        <f>""</f>
        <v/>
      </c>
      <c r="AG57" s="4" t="str">
        <f>"16707854777"</f>
        <v>16707854777</v>
      </c>
      <c r="AH57" t="str">
        <f>""</f>
        <v/>
      </c>
      <c r="AI57" t="str">
        <f>"236115"</f>
        <v>236115</v>
      </c>
      <c r="AJ57" t="s">
        <v>79</v>
      </c>
      <c r="AK57" t="s">
        <v>79</v>
      </c>
      <c r="AL57" t="s">
        <v>80</v>
      </c>
      <c r="AM57" t="s">
        <v>79</v>
      </c>
      <c r="AP57" t="str">
        <f>"Accountant"</f>
        <v>Accountant</v>
      </c>
      <c r="AQ57" t="str">
        <f>"13-2011.00"</f>
        <v>13-2011.00</v>
      </c>
      <c r="AR57" t="str">
        <f>"Accountants and Auditors"</f>
        <v>Accountants and Auditors</v>
      </c>
      <c r="AS57" t="str">
        <f>"President"</f>
        <v>President</v>
      </c>
      <c r="AT57" t="s">
        <v>79</v>
      </c>
      <c r="AU57" t="str">
        <f>""</f>
        <v/>
      </c>
      <c r="AV57" t="str">
        <f>""</f>
        <v/>
      </c>
      <c r="AW57" t="s">
        <v>79</v>
      </c>
      <c r="AX57" t="str">
        <f>""</f>
        <v/>
      </c>
      <c r="AY57" t="s">
        <v>95</v>
      </c>
      <c r="BA57" t="s">
        <v>119</v>
      </c>
      <c r="BB57" t="s">
        <v>79</v>
      </c>
      <c r="BD57" t="s">
        <v>79</v>
      </c>
      <c r="BG57" t="s">
        <v>82</v>
      </c>
      <c r="BH57">
        <v>24</v>
      </c>
      <c r="BI57" t="s">
        <v>131</v>
      </c>
      <c r="BJ57" t="s">
        <v>1575</v>
      </c>
      <c r="BK57" t="str">
        <f>"Pahong Street Kagman III"</f>
        <v>Pahong Street Kagman III</v>
      </c>
      <c r="BL57" t="str">
        <f>""</f>
        <v/>
      </c>
      <c r="BM57" t="str">
        <f>"Saipan"</f>
        <v>Saipan</v>
      </c>
      <c r="BO57" t="s">
        <v>83</v>
      </c>
      <c r="BP57" s="4" t="str">
        <f t="shared" si="23"/>
        <v>96950</v>
      </c>
      <c r="BQ57" t="s">
        <v>79</v>
      </c>
      <c r="BR57" t="str">
        <f>"13-2011.00"</f>
        <v>13-2011.00</v>
      </c>
      <c r="BS57" t="s">
        <v>133</v>
      </c>
      <c r="BT57" s="3">
        <v>16.190000000000001</v>
      </c>
      <c r="BU57" t="s">
        <v>80</v>
      </c>
      <c r="BV57" t="s">
        <v>90</v>
      </c>
      <c r="BW57" t="s">
        <v>92</v>
      </c>
      <c r="BZ57" s="1">
        <v>45107</v>
      </c>
    </row>
    <row r="58" spans="1:78" ht="15" customHeight="1" x14ac:dyDescent="0.25">
      <c r="A58" t="s">
        <v>1558</v>
      </c>
      <c r="B58" t="s">
        <v>94</v>
      </c>
      <c r="C58" s="1">
        <v>44874</v>
      </c>
      <c r="D58" s="1">
        <v>44914</v>
      </c>
      <c r="H58" t="s">
        <v>78</v>
      </c>
      <c r="I58" t="str">
        <f>"PARK "</f>
        <v xml:space="preserve">PARK </v>
      </c>
      <c r="J58" t="str">
        <f>"EUN PYUNG "</f>
        <v xml:space="preserve">EUN PYUNG </v>
      </c>
      <c r="K58" t="str">
        <f>""</f>
        <v/>
      </c>
      <c r="L58" t="str">
        <f>"GENERAL MANAGER "</f>
        <v xml:space="preserve">GENERAL MANAGER </v>
      </c>
      <c r="M58" t="str">
        <f>"4940 AS GONNO RD. KOBLERVILLE "</f>
        <v xml:space="preserve">4940 AS GONNO RD. KOBLERVILLE </v>
      </c>
      <c r="N58" t="str">
        <f>"P.O BOX 501160"</f>
        <v>P.O BOX 501160</v>
      </c>
      <c r="O58" t="str">
        <f>"SAIPAN "</f>
        <v xml:space="preserve">SAIPAN </v>
      </c>
      <c r="P58" t="str">
        <f t="shared" si="24"/>
        <v>MP</v>
      </c>
      <c r="Q58" s="4" t="str">
        <f t="shared" si="21"/>
        <v>96950</v>
      </c>
      <c r="R58" t="str">
        <f t="shared" si="3"/>
        <v>UNITED STATES OF AMERICA</v>
      </c>
      <c r="S58" t="str">
        <f>""</f>
        <v/>
      </c>
      <c r="T58" s="5" t="str">
        <f>"16702347000"</f>
        <v>16702347000</v>
      </c>
      <c r="U58" t="str">
        <f>""</f>
        <v/>
      </c>
      <c r="V58" s="5" t="str">
        <f>""</f>
        <v/>
      </c>
      <c r="W58" t="str">
        <f>"hr@coraloceansaipan.com"</f>
        <v>hr@coraloceansaipan.com</v>
      </c>
      <c r="X58" t="str">
        <f>"SUWASO CORPORATION "</f>
        <v xml:space="preserve">SUWASO CORPORATION </v>
      </c>
      <c r="Y58" t="str">
        <f>"CORAL OCEAN RESORT "</f>
        <v xml:space="preserve">CORAL OCEAN RESORT </v>
      </c>
      <c r="Z58" t="str">
        <f>"4940 AS GONNO RD. KOBLERVILLE "</f>
        <v xml:space="preserve">4940 AS GONNO RD. KOBLERVILLE </v>
      </c>
      <c r="AA58" t="str">
        <f>"P.O BOX 501160"</f>
        <v>P.O BOX 501160</v>
      </c>
      <c r="AB58" t="str">
        <f>"SAIPAN "</f>
        <v xml:space="preserve">SAIPAN </v>
      </c>
      <c r="AC58" t="str">
        <f t="shared" si="4"/>
        <v>MP</v>
      </c>
      <c r="AD58" t="str">
        <f t="shared" si="22"/>
        <v>96950</v>
      </c>
      <c r="AE58" t="str">
        <f t="shared" si="6"/>
        <v>UNITED STATES OF AMERICA</v>
      </c>
      <c r="AF58" t="str">
        <f>""</f>
        <v/>
      </c>
      <c r="AG58" s="4" t="str">
        <f>"16702347000"</f>
        <v>16702347000</v>
      </c>
      <c r="AH58" t="str">
        <f>""</f>
        <v/>
      </c>
      <c r="AI58" t="str">
        <f>"721110"</f>
        <v>721110</v>
      </c>
      <c r="AJ58" t="s">
        <v>79</v>
      </c>
      <c r="AK58" t="s">
        <v>79</v>
      </c>
      <c r="AL58" t="s">
        <v>80</v>
      </c>
      <c r="AM58" t="s">
        <v>79</v>
      </c>
      <c r="AP58" t="str">
        <f>"FOOD &amp; BEVERAGE SUPERVISOR "</f>
        <v xml:space="preserve">FOOD &amp; BEVERAGE SUPERVISOR </v>
      </c>
      <c r="AQ58" t="str">
        <f>"35-1012.00"</f>
        <v>35-1012.00</v>
      </c>
      <c r="AR58" t="str">
        <f>"First-Line Supervisors of Food Preparation and Serving Workers"</f>
        <v>First-Line Supervisors of Food Preparation and Serving Workers</v>
      </c>
      <c r="AS58" t="str">
        <f>"RESTAURANT MANAGER "</f>
        <v xml:space="preserve">RESTAURANT MANAGER </v>
      </c>
      <c r="AT58" t="s">
        <v>82</v>
      </c>
      <c r="AU58" t="str">
        <f>"2"</f>
        <v>2</v>
      </c>
      <c r="AV58" t="str">
        <f>"Subordinate"</f>
        <v>Subordinate</v>
      </c>
      <c r="AW58" t="s">
        <v>79</v>
      </c>
      <c r="AX58" t="str">
        <f>""</f>
        <v/>
      </c>
      <c r="AY58" t="s">
        <v>95</v>
      </c>
      <c r="BA58" t="s">
        <v>1559</v>
      </c>
      <c r="BB58" t="s">
        <v>79</v>
      </c>
      <c r="BD58" t="s">
        <v>79</v>
      </c>
      <c r="BG58" t="s">
        <v>82</v>
      </c>
      <c r="BH58">
        <v>24</v>
      </c>
      <c r="BI58" t="s">
        <v>1560</v>
      </c>
      <c r="BJ58" t="s">
        <v>1561</v>
      </c>
      <c r="BK58" t="str">
        <f>"4940 AS GONNO RD. KOBLERVILLE "</f>
        <v xml:space="preserve">4940 AS GONNO RD. KOBLERVILLE </v>
      </c>
      <c r="BL58" t="str">
        <f>"P.O BOX 501160, "</f>
        <v xml:space="preserve">P.O BOX 501160, </v>
      </c>
      <c r="BM58" t="str">
        <f>"SAIPAN "</f>
        <v xml:space="preserve">SAIPAN </v>
      </c>
      <c r="BO58" t="s">
        <v>83</v>
      </c>
      <c r="BP58" s="4" t="str">
        <f t="shared" si="23"/>
        <v>96950</v>
      </c>
      <c r="BQ58" t="s">
        <v>79</v>
      </c>
      <c r="BR58" t="str">
        <f>"35-1012.00"</f>
        <v>35-1012.00</v>
      </c>
      <c r="BS58" t="s">
        <v>694</v>
      </c>
      <c r="BT58" s="3">
        <v>9.75</v>
      </c>
      <c r="BU58" t="s">
        <v>80</v>
      </c>
      <c r="BV58" t="s">
        <v>90</v>
      </c>
      <c r="BW58" t="s">
        <v>92</v>
      </c>
      <c r="BZ58" s="1">
        <v>45107</v>
      </c>
    </row>
    <row r="59" spans="1:78" ht="15" customHeight="1" x14ac:dyDescent="0.25">
      <c r="A59" t="s">
        <v>1562</v>
      </c>
      <c r="B59" t="s">
        <v>94</v>
      </c>
      <c r="C59" s="1">
        <v>44874</v>
      </c>
      <c r="D59" s="1">
        <v>44914</v>
      </c>
      <c r="H59" t="s">
        <v>78</v>
      </c>
      <c r="I59" t="str">
        <f>"Ramirez"</f>
        <v>Ramirez</v>
      </c>
      <c r="J59" t="str">
        <f>"Cesar"</f>
        <v>Cesar</v>
      </c>
      <c r="K59" t="str">
        <f>"P"</f>
        <v>P</v>
      </c>
      <c r="L59" t="str">
        <f>"Secretary"</f>
        <v>Secretary</v>
      </c>
      <c r="M59" t="str">
        <f>"Chalan Piao Village"</f>
        <v>Chalan Piao Village</v>
      </c>
      <c r="N59" t="str">
        <f>""</f>
        <v/>
      </c>
      <c r="O59" t="str">
        <f>"Saipan"</f>
        <v>Saipan</v>
      </c>
      <c r="P59" t="str">
        <f t="shared" si="24"/>
        <v>MP</v>
      </c>
      <c r="Q59" s="4" t="str">
        <f t="shared" si="21"/>
        <v>96950</v>
      </c>
      <c r="R59" t="str">
        <f t="shared" si="3"/>
        <v>UNITED STATES OF AMERICA</v>
      </c>
      <c r="S59" t="str">
        <f>""</f>
        <v/>
      </c>
      <c r="T59" s="5" t="str">
        <f>"16702356129"</f>
        <v>16702356129</v>
      </c>
      <c r="U59" t="str">
        <f>""</f>
        <v/>
      </c>
      <c r="V59" s="5" t="str">
        <f>""</f>
        <v/>
      </c>
      <c r="W59" t="str">
        <f>"goldencorp216@gmail.com"</f>
        <v>goldencorp216@gmail.com</v>
      </c>
      <c r="X59" t="str">
        <f>"Golden Corporation"</f>
        <v>Golden Corporation</v>
      </c>
      <c r="Y59" t="str">
        <f>"Apartment Rental"</f>
        <v>Apartment Rental</v>
      </c>
      <c r="Z59" t="str">
        <f>"Chalan Piao Village"</f>
        <v>Chalan Piao Village</v>
      </c>
      <c r="AA59" t="str">
        <f>""</f>
        <v/>
      </c>
      <c r="AB59" t="str">
        <f>"Saipan"</f>
        <v>Saipan</v>
      </c>
      <c r="AC59" t="str">
        <f t="shared" si="4"/>
        <v>MP</v>
      </c>
      <c r="AD59" t="str">
        <f t="shared" si="22"/>
        <v>96950</v>
      </c>
      <c r="AE59" t="str">
        <f t="shared" si="6"/>
        <v>UNITED STATES OF AMERICA</v>
      </c>
      <c r="AF59" t="str">
        <f>""</f>
        <v/>
      </c>
      <c r="AG59" s="4" t="str">
        <f>"16702356129"</f>
        <v>16702356129</v>
      </c>
      <c r="AH59" t="str">
        <f>""</f>
        <v/>
      </c>
      <c r="AI59" t="str">
        <f>"531110"</f>
        <v>531110</v>
      </c>
      <c r="AJ59" t="s">
        <v>79</v>
      </c>
      <c r="AK59" t="s">
        <v>79</v>
      </c>
      <c r="AL59" t="s">
        <v>80</v>
      </c>
      <c r="AM59" t="s">
        <v>79</v>
      </c>
      <c r="AP59" t="str">
        <f>"Maintenance and repair workers"</f>
        <v>Maintenance and repair workers</v>
      </c>
      <c r="AQ59" t="str">
        <f>""</f>
        <v/>
      </c>
      <c r="AR59" t="str">
        <f>""</f>
        <v/>
      </c>
      <c r="AS59" t="str">
        <f>"Secretary"</f>
        <v>Secretary</v>
      </c>
      <c r="AT59" t="s">
        <v>79</v>
      </c>
      <c r="AU59" t="str">
        <f>""</f>
        <v/>
      </c>
      <c r="AV59" t="str">
        <f>""</f>
        <v/>
      </c>
      <c r="AW59" t="s">
        <v>79</v>
      </c>
      <c r="AX59" t="str">
        <f>""</f>
        <v/>
      </c>
      <c r="AY59" t="s">
        <v>84</v>
      </c>
      <c r="BA59" t="s">
        <v>119</v>
      </c>
      <c r="BB59" t="s">
        <v>79</v>
      </c>
      <c r="BD59" t="s">
        <v>79</v>
      </c>
      <c r="BG59" t="s">
        <v>82</v>
      </c>
      <c r="BH59">
        <v>24</v>
      </c>
      <c r="BI59" t="s">
        <v>271</v>
      </c>
      <c r="BJ59" t="s">
        <v>1563</v>
      </c>
      <c r="BK59" t="str">
        <f>"Saipan"</f>
        <v>Saipan</v>
      </c>
      <c r="BL59" t="str">
        <f>""</f>
        <v/>
      </c>
      <c r="BM59" t="str">
        <f>"Saipan"</f>
        <v>Saipan</v>
      </c>
      <c r="BO59" t="s">
        <v>83</v>
      </c>
      <c r="BP59" s="4" t="str">
        <f t="shared" si="23"/>
        <v>96950</v>
      </c>
      <c r="BQ59" t="s">
        <v>79</v>
      </c>
      <c r="BR59" t="str">
        <f>"49-9071.00"</f>
        <v>49-9071.00</v>
      </c>
      <c r="BS59" t="s">
        <v>146</v>
      </c>
      <c r="BT59" s="3">
        <v>9.19</v>
      </c>
      <c r="BU59" t="s">
        <v>80</v>
      </c>
      <c r="BV59" t="s">
        <v>90</v>
      </c>
      <c r="BW59" t="s">
        <v>92</v>
      </c>
      <c r="BZ59" s="1">
        <v>45107</v>
      </c>
    </row>
    <row r="60" spans="1:78" ht="15" customHeight="1" x14ac:dyDescent="0.25">
      <c r="A60" t="s">
        <v>1564</v>
      </c>
      <c r="B60" t="s">
        <v>94</v>
      </c>
      <c r="C60" s="1">
        <v>44874</v>
      </c>
      <c r="D60" s="1">
        <v>44914</v>
      </c>
      <c r="H60" t="s">
        <v>78</v>
      </c>
      <c r="I60" t="str">
        <f>"Ramirez"</f>
        <v>Ramirez</v>
      </c>
      <c r="J60" t="str">
        <f>"Cesar"</f>
        <v>Cesar</v>
      </c>
      <c r="K60" t="str">
        <f>"P"</f>
        <v>P</v>
      </c>
      <c r="L60" t="str">
        <f>"Secretary"</f>
        <v>Secretary</v>
      </c>
      <c r="M60" t="str">
        <f>"Chalan Piao Village"</f>
        <v>Chalan Piao Village</v>
      </c>
      <c r="N60" t="str">
        <f>""</f>
        <v/>
      </c>
      <c r="O60" t="str">
        <f>"Saipan"</f>
        <v>Saipan</v>
      </c>
      <c r="P60" t="str">
        <f t="shared" si="24"/>
        <v>MP</v>
      </c>
      <c r="Q60" s="4" t="str">
        <f t="shared" si="21"/>
        <v>96950</v>
      </c>
      <c r="R60" t="str">
        <f t="shared" si="3"/>
        <v>UNITED STATES OF AMERICA</v>
      </c>
      <c r="S60" t="str">
        <f>""</f>
        <v/>
      </c>
      <c r="T60" s="5" t="str">
        <f>"16702356129"</f>
        <v>16702356129</v>
      </c>
      <c r="U60" t="str">
        <f>""</f>
        <v/>
      </c>
      <c r="V60" s="5" t="str">
        <f>""</f>
        <v/>
      </c>
      <c r="W60" t="str">
        <f>"goldencorp216@gmail.com"</f>
        <v>goldencorp216@gmail.com</v>
      </c>
      <c r="X60" t="str">
        <f>"Golden Corporation"</f>
        <v>Golden Corporation</v>
      </c>
      <c r="Y60" t="str">
        <f>"Manpower Service"</f>
        <v>Manpower Service</v>
      </c>
      <c r="Z60" t="str">
        <f>"Chalan Piao Village"</f>
        <v>Chalan Piao Village</v>
      </c>
      <c r="AA60" t="str">
        <f>""</f>
        <v/>
      </c>
      <c r="AB60" t="str">
        <f>"Saipan"</f>
        <v>Saipan</v>
      </c>
      <c r="AC60" t="str">
        <f t="shared" si="4"/>
        <v>MP</v>
      </c>
      <c r="AD60" t="str">
        <f t="shared" si="22"/>
        <v>96950</v>
      </c>
      <c r="AE60" t="str">
        <f t="shared" si="6"/>
        <v>UNITED STATES OF AMERICA</v>
      </c>
      <c r="AF60" t="str">
        <f>""</f>
        <v/>
      </c>
      <c r="AG60" s="4" t="str">
        <f>"16702356129"</f>
        <v>16702356129</v>
      </c>
      <c r="AH60" t="str">
        <f>""</f>
        <v/>
      </c>
      <c r="AI60" t="str">
        <f>"531110"</f>
        <v>531110</v>
      </c>
      <c r="AJ60" t="s">
        <v>79</v>
      </c>
      <c r="AK60" t="s">
        <v>79</v>
      </c>
      <c r="AL60" t="s">
        <v>80</v>
      </c>
      <c r="AM60" t="s">
        <v>79</v>
      </c>
      <c r="AP60" t="str">
        <f>"Maintenance and repair workers"</f>
        <v>Maintenance and repair workers</v>
      </c>
      <c r="AQ60" t="str">
        <f>"49-9071.00"</f>
        <v>49-9071.00</v>
      </c>
      <c r="AR60" t="str">
        <f>"Maintenance and Repair Workers, General"</f>
        <v>Maintenance and Repair Workers, General</v>
      </c>
      <c r="AS60" t="str">
        <f>"Secretay"</f>
        <v>Secretay</v>
      </c>
      <c r="AT60" t="s">
        <v>79</v>
      </c>
      <c r="AU60" t="str">
        <f>""</f>
        <v/>
      </c>
      <c r="AV60" t="str">
        <f>""</f>
        <v/>
      </c>
      <c r="AW60" t="s">
        <v>79</v>
      </c>
      <c r="AX60" t="str">
        <f>""</f>
        <v/>
      </c>
      <c r="AY60" t="s">
        <v>84</v>
      </c>
      <c r="BA60" t="s">
        <v>119</v>
      </c>
      <c r="BB60" t="s">
        <v>79</v>
      </c>
      <c r="BD60" t="s">
        <v>79</v>
      </c>
      <c r="BG60" t="s">
        <v>82</v>
      </c>
      <c r="BH60">
        <v>24</v>
      </c>
      <c r="BI60" t="s">
        <v>271</v>
      </c>
      <c r="BJ60" t="s">
        <v>1563</v>
      </c>
      <c r="BK60" t="str">
        <f>"Saipan"</f>
        <v>Saipan</v>
      </c>
      <c r="BL60" t="str">
        <f>""</f>
        <v/>
      </c>
      <c r="BM60" t="str">
        <f>"Saipan"</f>
        <v>Saipan</v>
      </c>
      <c r="BO60" t="s">
        <v>83</v>
      </c>
      <c r="BP60" s="4" t="str">
        <f t="shared" si="23"/>
        <v>96950</v>
      </c>
      <c r="BQ60" t="s">
        <v>79</v>
      </c>
      <c r="BR60" t="str">
        <f>"49-9071.00"</f>
        <v>49-9071.00</v>
      </c>
      <c r="BS60" t="s">
        <v>146</v>
      </c>
      <c r="BT60" s="3">
        <v>9.19</v>
      </c>
      <c r="BU60" t="s">
        <v>80</v>
      </c>
      <c r="BV60" t="s">
        <v>90</v>
      </c>
      <c r="BW60" t="s">
        <v>92</v>
      </c>
      <c r="BZ60" s="1">
        <v>45107</v>
      </c>
    </row>
    <row r="61" spans="1:78" ht="15" customHeight="1" x14ac:dyDescent="0.25">
      <c r="A61" t="s">
        <v>1565</v>
      </c>
      <c r="B61" t="s">
        <v>94</v>
      </c>
      <c r="C61" s="1">
        <v>44874</v>
      </c>
      <c r="D61" s="1">
        <v>44914</v>
      </c>
      <c r="H61" t="s">
        <v>78</v>
      </c>
      <c r="I61" t="str">
        <f>"Ramirez"</f>
        <v>Ramirez</v>
      </c>
      <c r="J61" t="str">
        <f>"Cesar"</f>
        <v>Cesar</v>
      </c>
      <c r="K61" t="str">
        <f>"P"</f>
        <v>P</v>
      </c>
      <c r="L61" t="str">
        <f>"Secretary"</f>
        <v>Secretary</v>
      </c>
      <c r="M61" t="str">
        <f>"Chalan Piao Village"</f>
        <v>Chalan Piao Village</v>
      </c>
      <c r="N61" t="str">
        <f>""</f>
        <v/>
      </c>
      <c r="O61" t="str">
        <f>"Saipan"</f>
        <v>Saipan</v>
      </c>
      <c r="P61" t="str">
        <f t="shared" si="24"/>
        <v>MP</v>
      </c>
      <c r="Q61" s="4" t="str">
        <f t="shared" si="21"/>
        <v>96950</v>
      </c>
      <c r="R61" t="str">
        <f t="shared" si="3"/>
        <v>UNITED STATES OF AMERICA</v>
      </c>
      <c r="S61" t="str">
        <f>""</f>
        <v/>
      </c>
      <c r="T61" s="5" t="str">
        <f>"16702356129"</f>
        <v>16702356129</v>
      </c>
      <c r="U61" t="str">
        <f>""</f>
        <v/>
      </c>
      <c r="V61" s="5" t="str">
        <f>""</f>
        <v/>
      </c>
      <c r="W61" t="str">
        <f>"goldencorp216@gmail.com"</f>
        <v>goldencorp216@gmail.com</v>
      </c>
      <c r="X61" t="str">
        <f>"Golden Corporation"</f>
        <v>Golden Corporation</v>
      </c>
      <c r="Y61" t="str">
        <f>"Josie's Unique Hair"</f>
        <v>Josie's Unique Hair</v>
      </c>
      <c r="Z61" t="str">
        <f>"Chalan Piao Village"</f>
        <v>Chalan Piao Village</v>
      </c>
      <c r="AA61" t="str">
        <f>""</f>
        <v/>
      </c>
      <c r="AB61" t="str">
        <f>"Saipan"</f>
        <v>Saipan</v>
      </c>
      <c r="AC61" t="str">
        <f t="shared" si="4"/>
        <v>MP</v>
      </c>
      <c r="AD61" t="str">
        <f t="shared" si="22"/>
        <v>96950</v>
      </c>
      <c r="AE61" t="str">
        <f t="shared" si="6"/>
        <v>UNITED STATES OF AMERICA</v>
      </c>
      <c r="AF61" t="str">
        <f>""</f>
        <v/>
      </c>
      <c r="AG61" s="4" t="str">
        <f>"16702356129"</f>
        <v>16702356129</v>
      </c>
      <c r="AH61" t="str">
        <f>""</f>
        <v/>
      </c>
      <c r="AI61" t="str">
        <f>"812112"</f>
        <v>812112</v>
      </c>
      <c r="AJ61" t="s">
        <v>79</v>
      </c>
      <c r="AK61" t="s">
        <v>79</v>
      </c>
      <c r="AL61" t="s">
        <v>80</v>
      </c>
      <c r="AM61" t="s">
        <v>79</v>
      </c>
      <c r="AP61" t="str">
        <f>"Hairdressers, Hairstylists, and Cosmetologists"</f>
        <v>Hairdressers, Hairstylists, and Cosmetologists</v>
      </c>
      <c r="AQ61" t="str">
        <f>"39-5012.00"</f>
        <v>39-5012.00</v>
      </c>
      <c r="AR61" t="str">
        <f>"Hairdressers, Hairstylists, and Cosmetologists"</f>
        <v>Hairdressers, Hairstylists, and Cosmetologists</v>
      </c>
      <c r="AS61" t="str">
        <f>"Secretary"</f>
        <v>Secretary</v>
      </c>
      <c r="AT61" t="s">
        <v>79</v>
      </c>
      <c r="AU61" t="str">
        <f>""</f>
        <v/>
      </c>
      <c r="AV61" t="str">
        <f>""</f>
        <v/>
      </c>
      <c r="AW61" t="s">
        <v>79</v>
      </c>
      <c r="AX61" t="str">
        <f>""</f>
        <v/>
      </c>
      <c r="AY61" t="s">
        <v>84</v>
      </c>
      <c r="BA61" t="s">
        <v>119</v>
      </c>
      <c r="BB61" t="s">
        <v>79</v>
      </c>
      <c r="BD61" t="s">
        <v>79</v>
      </c>
      <c r="BG61" t="s">
        <v>82</v>
      </c>
      <c r="BH61">
        <v>12</v>
      </c>
      <c r="BI61" t="s">
        <v>1009</v>
      </c>
      <c r="BJ61" t="s">
        <v>1010</v>
      </c>
      <c r="BK61" t="str">
        <f>"Chalan Piao Village"</f>
        <v>Chalan Piao Village</v>
      </c>
      <c r="BL61" t="str">
        <f>""</f>
        <v/>
      </c>
      <c r="BM61" t="str">
        <f>"Saipan"</f>
        <v>Saipan</v>
      </c>
      <c r="BO61" t="s">
        <v>83</v>
      </c>
      <c r="BP61" s="4" t="str">
        <f t="shared" si="23"/>
        <v>96950</v>
      </c>
      <c r="BQ61" t="s">
        <v>79</v>
      </c>
      <c r="BR61" t="str">
        <f>"39-5012.00"</f>
        <v>39-5012.00</v>
      </c>
      <c r="BS61" t="s">
        <v>184</v>
      </c>
      <c r="BT61" s="3">
        <v>7.88</v>
      </c>
      <c r="BU61" t="s">
        <v>80</v>
      </c>
      <c r="BV61" t="s">
        <v>90</v>
      </c>
      <c r="BW61" t="s">
        <v>92</v>
      </c>
      <c r="BZ61" s="1">
        <v>45107</v>
      </c>
    </row>
    <row r="62" spans="1:78" ht="15" customHeight="1" x14ac:dyDescent="0.25">
      <c r="A62" t="s">
        <v>1566</v>
      </c>
      <c r="B62" t="s">
        <v>94</v>
      </c>
      <c r="C62" s="1">
        <v>44874</v>
      </c>
      <c r="D62" s="1">
        <v>44914</v>
      </c>
      <c r="H62" t="s">
        <v>78</v>
      </c>
      <c r="I62" t="str">
        <f>"XU"</f>
        <v>XU</v>
      </c>
      <c r="J62" t="str">
        <f>"XIANHONG"</f>
        <v>XIANHONG</v>
      </c>
      <c r="K62" t="str">
        <f>""</f>
        <v/>
      </c>
      <c r="L62" t="str">
        <f>"PRESIDENT"</f>
        <v>PRESIDENT</v>
      </c>
      <c r="M62" t="str">
        <f>"THE PROM, GARAPAN VILLAGE"</f>
        <v>THE PROM, GARAPAN VILLAGE</v>
      </c>
      <c r="N62" t="str">
        <f>"N/A"</f>
        <v>N/A</v>
      </c>
      <c r="O62" t="str">
        <f>"SAIPAN"</f>
        <v>SAIPAN</v>
      </c>
      <c r="P62" t="str">
        <f t="shared" si="24"/>
        <v>MP</v>
      </c>
      <c r="Q62" s="4" t="str">
        <f t="shared" si="21"/>
        <v>96950</v>
      </c>
      <c r="R62" t="str">
        <f t="shared" si="3"/>
        <v>UNITED STATES OF AMERICA</v>
      </c>
      <c r="S62" t="str">
        <f>""</f>
        <v/>
      </c>
      <c r="T62" s="5" t="str">
        <f>"16707835150"</f>
        <v>16707835150</v>
      </c>
      <c r="U62" t="str">
        <f>""</f>
        <v/>
      </c>
      <c r="V62" s="5" t="str">
        <f>""</f>
        <v/>
      </c>
      <c r="W62" t="str">
        <f>"LXUNITECORP@GMAIL.COM"</f>
        <v>LXUNITECORP@GMAIL.COM</v>
      </c>
      <c r="X62" t="str">
        <f>"L.X UNITE CORPORATION"</f>
        <v>L.X UNITE CORPORATION</v>
      </c>
      <c r="Y62" t="str">
        <f>"MANICURE &amp; PEDICURE"</f>
        <v>MANICURE &amp; PEDICURE</v>
      </c>
      <c r="Z62" t="str">
        <f>"THE PROM, GARAPAN VILLAGE"</f>
        <v>THE PROM, GARAPAN VILLAGE</v>
      </c>
      <c r="AA62" t="str">
        <f>"N/A"</f>
        <v>N/A</v>
      </c>
      <c r="AB62" t="str">
        <f>"SAIPAN"</f>
        <v>SAIPAN</v>
      </c>
      <c r="AC62" t="str">
        <f t="shared" si="4"/>
        <v>MP</v>
      </c>
      <c r="AD62" t="str">
        <f t="shared" si="22"/>
        <v>96950</v>
      </c>
      <c r="AE62" t="str">
        <f t="shared" si="6"/>
        <v>UNITED STATES OF AMERICA</v>
      </c>
      <c r="AF62" t="str">
        <f>""</f>
        <v/>
      </c>
      <c r="AG62" s="4" t="str">
        <f>"16707835150"</f>
        <v>16707835150</v>
      </c>
      <c r="AH62" t="str">
        <f>""</f>
        <v/>
      </c>
      <c r="AI62" t="str">
        <f>"812113"</f>
        <v>812113</v>
      </c>
      <c r="AJ62" t="s">
        <v>79</v>
      </c>
      <c r="AK62" t="s">
        <v>79</v>
      </c>
      <c r="AL62" t="s">
        <v>80</v>
      </c>
      <c r="AM62" t="s">
        <v>79</v>
      </c>
      <c r="AP62" t="str">
        <f>"MANICURIST &amp; PEDICURIST"</f>
        <v>MANICURIST &amp; PEDICURIST</v>
      </c>
      <c r="AQ62" t="str">
        <f>"39-5092.00"</f>
        <v>39-5092.00</v>
      </c>
      <c r="AR62" t="str">
        <f>"Manicurists and Pedicurists"</f>
        <v>Manicurists and Pedicurists</v>
      </c>
      <c r="AS62" t="str">
        <f>"N/A"</f>
        <v>N/A</v>
      </c>
      <c r="AT62" t="s">
        <v>79</v>
      </c>
      <c r="AU62" t="str">
        <f>""</f>
        <v/>
      </c>
      <c r="AV62" t="str">
        <f>""</f>
        <v/>
      </c>
      <c r="AW62" t="s">
        <v>79</v>
      </c>
      <c r="AX62" t="str">
        <f>""</f>
        <v/>
      </c>
      <c r="AY62" t="s">
        <v>84</v>
      </c>
      <c r="BA62" t="s">
        <v>80</v>
      </c>
      <c r="BB62" t="s">
        <v>79</v>
      </c>
      <c r="BD62" t="s">
        <v>79</v>
      </c>
      <c r="BG62" t="s">
        <v>82</v>
      </c>
      <c r="BH62">
        <v>6</v>
      </c>
      <c r="BI62" t="s">
        <v>1567</v>
      </c>
      <c r="BJ62" s="2" t="s">
        <v>1568</v>
      </c>
      <c r="BK62" t="str">
        <f>"THE PORM, GARAPAN VILLAGE"</f>
        <v>THE PORM, GARAPAN VILLAGE</v>
      </c>
      <c r="BL62" t="str">
        <f>"N/A"</f>
        <v>N/A</v>
      </c>
      <c r="BM62" t="str">
        <f>"SAIPAN"</f>
        <v>SAIPAN</v>
      </c>
      <c r="BO62" t="s">
        <v>83</v>
      </c>
      <c r="BP62" s="4" t="str">
        <f t="shared" si="23"/>
        <v>96950</v>
      </c>
      <c r="BQ62" t="s">
        <v>79</v>
      </c>
      <c r="BR62" t="str">
        <f>"39-5092.00"</f>
        <v>39-5092.00</v>
      </c>
      <c r="BS62" t="s">
        <v>644</v>
      </c>
      <c r="BT62" s="3">
        <v>7.85</v>
      </c>
      <c r="BU62" t="s">
        <v>80</v>
      </c>
      <c r="BV62" t="s">
        <v>90</v>
      </c>
      <c r="BW62" t="s">
        <v>92</v>
      </c>
      <c r="BZ62" s="1">
        <v>45107</v>
      </c>
    </row>
    <row r="63" spans="1:78" ht="15" customHeight="1" x14ac:dyDescent="0.25">
      <c r="A63" t="s">
        <v>1569</v>
      </c>
      <c r="B63" t="s">
        <v>94</v>
      </c>
      <c r="C63" s="1">
        <v>44874</v>
      </c>
      <c r="D63" s="1">
        <v>44914</v>
      </c>
      <c r="H63" t="s">
        <v>78</v>
      </c>
      <c r="I63" t="str">
        <f>"XU"</f>
        <v>XU</v>
      </c>
      <c r="J63" t="str">
        <f>"XIANHONG"</f>
        <v>XIANHONG</v>
      </c>
      <c r="K63" t="str">
        <f>""</f>
        <v/>
      </c>
      <c r="L63" t="str">
        <f>"PRESIDENT"</f>
        <v>PRESIDENT</v>
      </c>
      <c r="M63" t="str">
        <f>"THE PORM, GARAPAN VILLAGE"</f>
        <v>THE PORM, GARAPAN VILLAGE</v>
      </c>
      <c r="N63" t="str">
        <f>"N/A"</f>
        <v>N/A</v>
      </c>
      <c r="O63" t="str">
        <f>"SAIPAN"</f>
        <v>SAIPAN</v>
      </c>
      <c r="P63" t="str">
        <f t="shared" si="24"/>
        <v>MP</v>
      </c>
      <c r="Q63" s="4" t="str">
        <f t="shared" si="21"/>
        <v>96950</v>
      </c>
      <c r="R63" t="str">
        <f t="shared" si="3"/>
        <v>UNITED STATES OF AMERICA</v>
      </c>
      <c r="S63" t="str">
        <f>""</f>
        <v/>
      </c>
      <c r="T63" s="5" t="str">
        <f>"16707835150"</f>
        <v>16707835150</v>
      </c>
      <c r="U63" t="str">
        <f>""</f>
        <v/>
      </c>
      <c r="V63" s="5" t="str">
        <f>""</f>
        <v/>
      </c>
      <c r="W63" t="str">
        <f>"LXUNITECORP@GMAIL.COM"</f>
        <v>LXUNITECORP@GMAIL.COM</v>
      </c>
      <c r="X63" t="str">
        <f>"L.X UNITE CORPORATION"</f>
        <v>L.X UNITE CORPORATION</v>
      </c>
      <c r="Y63" t="str">
        <f>"NEW MIRAGE MASSAGE PARLOR"</f>
        <v>NEW MIRAGE MASSAGE PARLOR</v>
      </c>
      <c r="Z63" t="str">
        <f>"THE PORM, GARAPAN VILLAGE"</f>
        <v>THE PORM, GARAPAN VILLAGE</v>
      </c>
      <c r="AA63" t="str">
        <f>"N/A"</f>
        <v>N/A</v>
      </c>
      <c r="AB63" t="str">
        <f>"SAIPAN"</f>
        <v>SAIPAN</v>
      </c>
      <c r="AC63" t="str">
        <f t="shared" si="4"/>
        <v>MP</v>
      </c>
      <c r="AD63" t="str">
        <f t="shared" si="22"/>
        <v>96950</v>
      </c>
      <c r="AE63" t="str">
        <f t="shared" si="6"/>
        <v>UNITED STATES OF AMERICA</v>
      </c>
      <c r="AF63" t="str">
        <f>""</f>
        <v/>
      </c>
      <c r="AG63" s="4" t="str">
        <f>"16707835150"</f>
        <v>16707835150</v>
      </c>
      <c r="AH63" t="str">
        <f>""</f>
        <v/>
      </c>
      <c r="AI63" t="str">
        <f>"812199"</f>
        <v>812199</v>
      </c>
      <c r="AJ63" t="s">
        <v>79</v>
      </c>
      <c r="AK63" t="s">
        <v>79</v>
      </c>
      <c r="AL63" t="s">
        <v>80</v>
      </c>
      <c r="AM63" t="s">
        <v>79</v>
      </c>
      <c r="AP63" t="str">
        <f>"MASSEUSE/MASSEUR"</f>
        <v>MASSEUSE/MASSEUR</v>
      </c>
      <c r="AQ63" t="str">
        <f>"31-9011.00"</f>
        <v>31-9011.00</v>
      </c>
      <c r="AR63" t="str">
        <f>"Massage Therapists"</f>
        <v>Massage Therapists</v>
      </c>
      <c r="AS63" t="str">
        <f>"N/A"</f>
        <v>N/A</v>
      </c>
      <c r="AT63" t="s">
        <v>79</v>
      </c>
      <c r="AU63" t="str">
        <f>""</f>
        <v/>
      </c>
      <c r="AV63" t="str">
        <f>""</f>
        <v/>
      </c>
      <c r="AW63" t="s">
        <v>79</v>
      </c>
      <c r="AX63" t="str">
        <f>""</f>
        <v/>
      </c>
      <c r="AY63" t="s">
        <v>84</v>
      </c>
      <c r="BA63" t="s">
        <v>119</v>
      </c>
      <c r="BB63" t="s">
        <v>79</v>
      </c>
      <c r="BD63" t="s">
        <v>79</v>
      </c>
      <c r="BG63" t="s">
        <v>82</v>
      </c>
      <c r="BH63">
        <v>18</v>
      </c>
      <c r="BI63" t="s">
        <v>1570</v>
      </c>
      <c r="BJ63" s="2" t="s">
        <v>1571</v>
      </c>
      <c r="BK63" t="str">
        <f>"THE PORM, GARAPAN VILLAGE"</f>
        <v>THE PORM, GARAPAN VILLAGE</v>
      </c>
      <c r="BL63" t="str">
        <f>"N/A"</f>
        <v>N/A</v>
      </c>
      <c r="BM63" t="str">
        <f>"SAIPAN"</f>
        <v>SAIPAN</v>
      </c>
      <c r="BO63" t="s">
        <v>83</v>
      </c>
      <c r="BP63" s="4" t="str">
        <f t="shared" si="23"/>
        <v>96950</v>
      </c>
      <c r="BQ63" t="s">
        <v>79</v>
      </c>
      <c r="BR63" t="str">
        <f>"31-9011.00"</f>
        <v>31-9011.00</v>
      </c>
      <c r="BS63" t="s">
        <v>348</v>
      </c>
      <c r="BT63" s="3">
        <v>11.46</v>
      </c>
      <c r="BU63" t="s">
        <v>80</v>
      </c>
      <c r="BV63" t="s">
        <v>90</v>
      </c>
      <c r="BW63" t="s">
        <v>92</v>
      </c>
      <c r="BZ63" s="1">
        <v>45107</v>
      </c>
    </row>
    <row r="64" spans="1:78" ht="15" customHeight="1" x14ac:dyDescent="0.25">
      <c r="A64" t="s">
        <v>1572</v>
      </c>
      <c r="B64" t="s">
        <v>94</v>
      </c>
      <c r="C64" s="1">
        <v>44874</v>
      </c>
      <c r="D64" s="1">
        <v>44914</v>
      </c>
      <c r="H64" t="s">
        <v>78</v>
      </c>
      <c r="I64" t="str">
        <f>"SABLAN"</f>
        <v>SABLAN</v>
      </c>
      <c r="J64" t="str">
        <f>"MARY ANN"</f>
        <v>MARY ANN</v>
      </c>
      <c r="K64" t="str">
        <f>"FLORENDO"</f>
        <v>FLORENDO</v>
      </c>
      <c r="L64" t="str">
        <f>"V-PRESIDENT"</f>
        <v>V-PRESIDENT</v>
      </c>
      <c r="M64" t="str">
        <f>"12776 COASTAL DRIVE, CAPITOL HILLS"</f>
        <v>12776 COASTAL DRIVE, CAPITOL HILLS</v>
      </c>
      <c r="N64" t="str">
        <f>"P. O. BOX 503776"</f>
        <v>P. O. BOX 503776</v>
      </c>
      <c r="O64" t="str">
        <f>"SAIPAN"</f>
        <v>SAIPAN</v>
      </c>
      <c r="P64" t="str">
        <f t="shared" si="24"/>
        <v>MP</v>
      </c>
      <c r="Q64" s="4" t="str">
        <f t="shared" si="21"/>
        <v>96950</v>
      </c>
      <c r="R64" t="str">
        <f t="shared" si="3"/>
        <v>UNITED STATES OF AMERICA</v>
      </c>
      <c r="S64" t="str">
        <f>""</f>
        <v/>
      </c>
      <c r="T64" s="5" t="str">
        <f>"16704839683"</f>
        <v>16704839683</v>
      </c>
      <c r="U64" t="str">
        <f>""</f>
        <v/>
      </c>
      <c r="V64" s="5" t="str">
        <f>""</f>
        <v/>
      </c>
      <c r="W64" t="str">
        <f>"mfsablan@candmholdingcompany.com"</f>
        <v>mfsablan@candmholdingcompany.com</v>
      </c>
      <c r="X64" t="str">
        <f>"C &amp; M HOLDING COMPANY"</f>
        <v>C &amp; M HOLDING COMPANY</v>
      </c>
      <c r="Y64" t="str">
        <f>"CNMI GLOBAL LOGISTICS"</f>
        <v>CNMI GLOBAL LOGISTICS</v>
      </c>
      <c r="Z64" t="str">
        <f>"12777 COASTAL DRIVE, CAPITOL HILLS"</f>
        <v>12777 COASTAL DRIVE, CAPITOL HILLS</v>
      </c>
      <c r="AA64" t="str">
        <f>"P. O. BOX 503776"</f>
        <v>P. O. BOX 503776</v>
      </c>
      <c r="AB64" t="str">
        <f>"SAIPAN"</f>
        <v>SAIPAN</v>
      </c>
      <c r="AC64" t="str">
        <f t="shared" si="4"/>
        <v>MP</v>
      </c>
      <c r="AD64" t="str">
        <f t="shared" si="22"/>
        <v>96950</v>
      </c>
      <c r="AE64" t="str">
        <f t="shared" si="6"/>
        <v>UNITED STATES OF AMERICA</v>
      </c>
      <c r="AF64" t="str">
        <f>""</f>
        <v/>
      </c>
      <c r="AG64" s="4" t="str">
        <f>"16702342008"</f>
        <v>16702342008</v>
      </c>
      <c r="AH64" t="str">
        <f>""</f>
        <v/>
      </c>
      <c r="AI64" t="str">
        <f>"488510"</f>
        <v>488510</v>
      </c>
      <c r="AJ64" t="s">
        <v>79</v>
      </c>
      <c r="AK64" t="s">
        <v>79</v>
      </c>
      <c r="AL64" t="s">
        <v>80</v>
      </c>
      <c r="AM64" t="s">
        <v>79</v>
      </c>
      <c r="AP64" t="str">
        <f>"HEAVY EQUIPMENT OPERATOR"</f>
        <v>HEAVY EQUIPMENT OPERATOR</v>
      </c>
      <c r="AQ64" t="str">
        <f>"53-3032.00"</f>
        <v>53-3032.00</v>
      </c>
      <c r="AR64" t="str">
        <f>"Heavy and Tractor-Trailer Truck Drivers"</f>
        <v>Heavy and Tractor-Trailer Truck Drivers</v>
      </c>
      <c r="AS64" t="str">
        <f>"N/A"</f>
        <v>N/A</v>
      </c>
      <c r="AT64" t="s">
        <v>79</v>
      </c>
      <c r="AU64" t="str">
        <f>""</f>
        <v/>
      </c>
      <c r="AV64" t="str">
        <f>""</f>
        <v/>
      </c>
      <c r="AW64" t="s">
        <v>79</v>
      </c>
      <c r="AX64" t="str">
        <f>""</f>
        <v/>
      </c>
      <c r="AY64" t="s">
        <v>81</v>
      </c>
      <c r="BA64" t="s">
        <v>80</v>
      </c>
      <c r="BB64" t="s">
        <v>79</v>
      </c>
      <c r="BD64" t="s">
        <v>82</v>
      </c>
      <c r="BE64">
        <v>1</v>
      </c>
      <c r="BF64" t="s">
        <v>86</v>
      </c>
      <c r="BG64" t="s">
        <v>82</v>
      </c>
      <c r="BH64">
        <v>12</v>
      </c>
      <c r="BI64" t="s">
        <v>86</v>
      </c>
      <c r="BJ64" s="2" t="s">
        <v>1573</v>
      </c>
      <c r="BK64" t="str">
        <f>"12777 COASTAL DRIVE"</f>
        <v>12777 COASTAL DRIVE</v>
      </c>
      <c r="BL64" t="str">
        <f>"CAPITOL HILLS"</f>
        <v>CAPITOL HILLS</v>
      </c>
      <c r="BM64" t="str">
        <f>"SAIPAN"</f>
        <v>SAIPAN</v>
      </c>
      <c r="BO64" t="s">
        <v>83</v>
      </c>
      <c r="BP64" s="4" t="str">
        <f t="shared" si="23"/>
        <v>96950</v>
      </c>
      <c r="BQ64" t="s">
        <v>79</v>
      </c>
      <c r="BR64" t="str">
        <f>"47-2073.00"</f>
        <v>47-2073.00</v>
      </c>
      <c r="BS64" t="s">
        <v>609</v>
      </c>
      <c r="BT64" s="3">
        <v>10.23</v>
      </c>
      <c r="BU64" t="s">
        <v>80</v>
      </c>
      <c r="BV64" t="s">
        <v>90</v>
      </c>
      <c r="BW64" t="s">
        <v>92</v>
      </c>
      <c r="BZ64" s="1">
        <v>45107</v>
      </c>
    </row>
    <row r="65" spans="1:78" ht="15" customHeight="1" x14ac:dyDescent="0.25">
      <c r="A65" t="s">
        <v>1576</v>
      </c>
      <c r="B65" t="s">
        <v>94</v>
      </c>
      <c r="C65" s="1">
        <v>44874</v>
      </c>
      <c r="D65" s="1">
        <v>44914</v>
      </c>
      <c r="H65" t="s">
        <v>78</v>
      </c>
      <c r="I65" t="str">
        <f>"SABLAN"</f>
        <v>SABLAN</v>
      </c>
      <c r="J65" t="str">
        <f>"MARY ANN"</f>
        <v>MARY ANN</v>
      </c>
      <c r="K65" t="str">
        <f>"FLORENDO"</f>
        <v>FLORENDO</v>
      </c>
      <c r="L65" t="str">
        <f>"V-PRESIDENT"</f>
        <v>V-PRESIDENT</v>
      </c>
      <c r="M65" t="str">
        <f>"12776 COASTAL DRIVE"</f>
        <v>12776 COASTAL DRIVE</v>
      </c>
      <c r="N65" t="str">
        <f>"CAPITOL HILLS"</f>
        <v>CAPITOL HILLS</v>
      </c>
      <c r="O65" t="str">
        <f>"SAIPAN"</f>
        <v>SAIPAN</v>
      </c>
      <c r="P65" t="str">
        <f t="shared" si="24"/>
        <v>MP</v>
      </c>
      <c r="Q65" s="4" t="str">
        <f t="shared" si="21"/>
        <v>96950</v>
      </c>
      <c r="R65" t="str">
        <f t="shared" si="3"/>
        <v>UNITED STATES OF AMERICA</v>
      </c>
      <c r="S65" t="str">
        <f>""</f>
        <v/>
      </c>
      <c r="T65" s="5" t="str">
        <f>"16704839683"</f>
        <v>16704839683</v>
      </c>
      <c r="U65" t="str">
        <f>""</f>
        <v/>
      </c>
      <c r="V65" s="5" t="str">
        <f>""</f>
        <v/>
      </c>
      <c r="W65" t="str">
        <f>"mfsablan@candmholdingcompany.com"</f>
        <v>mfsablan@candmholdingcompany.com</v>
      </c>
      <c r="X65" t="str">
        <f>"C &amp; M HOLDING COMPANY"</f>
        <v>C &amp; M HOLDING COMPANY</v>
      </c>
      <c r="Y65" t="str">
        <f>"ISLAND CONSTRUCTION AND EQUIPMENT COMPANY"</f>
        <v>ISLAND CONSTRUCTION AND EQUIPMENT COMPANY</v>
      </c>
      <c r="Z65" t="str">
        <f>"12777 COASTAL DRIVE, CAPITOL HILLS"</f>
        <v>12777 COASTAL DRIVE, CAPITOL HILLS</v>
      </c>
      <c r="AA65" t="str">
        <f>"P. O. BOX 503776"</f>
        <v>P. O. BOX 503776</v>
      </c>
      <c r="AB65" t="str">
        <f>"SAIPAN"</f>
        <v>SAIPAN</v>
      </c>
      <c r="AC65" t="str">
        <f t="shared" si="4"/>
        <v>MP</v>
      </c>
      <c r="AD65" t="str">
        <f t="shared" si="22"/>
        <v>96950</v>
      </c>
      <c r="AE65" t="str">
        <f t="shared" si="6"/>
        <v>UNITED STATES OF AMERICA</v>
      </c>
      <c r="AF65" t="str">
        <f>""</f>
        <v/>
      </c>
      <c r="AG65" s="4" t="str">
        <f>"16702342008"</f>
        <v>16702342008</v>
      </c>
      <c r="AH65" t="str">
        <f>""</f>
        <v/>
      </c>
      <c r="AI65" t="str">
        <f>"236220"</f>
        <v>236220</v>
      </c>
      <c r="AJ65" t="s">
        <v>79</v>
      </c>
      <c r="AK65" t="s">
        <v>79</v>
      </c>
      <c r="AL65" t="s">
        <v>80</v>
      </c>
      <c r="AM65" t="s">
        <v>79</v>
      </c>
      <c r="AP65" t="str">
        <f>"MASON"</f>
        <v>MASON</v>
      </c>
      <c r="AQ65" t="str">
        <f>"47-2051.00"</f>
        <v>47-2051.00</v>
      </c>
      <c r="AR65" t="str">
        <f>"Cement Masons and Concrete Finishers"</f>
        <v>Cement Masons and Concrete Finishers</v>
      </c>
      <c r="AS65" t="str">
        <f>"N/A"</f>
        <v>N/A</v>
      </c>
      <c r="AT65" t="s">
        <v>79</v>
      </c>
      <c r="AU65" t="str">
        <f>""</f>
        <v/>
      </c>
      <c r="AV65" t="str">
        <f>""</f>
        <v/>
      </c>
      <c r="AW65" t="s">
        <v>79</v>
      </c>
      <c r="AX65" t="str">
        <f>""</f>
        <v/>
      </c>
      <c r="AY65" t="s">
        <v>81</v>
      </c>
      <c r="BA65" t="s">
        <v>80</v>
      </c>
      <c r="BB65" t="s">
        <v>79</v>
      </c>
      <c r="BD65" t="s">
        <v>79</v>
      </c>
      <c r="BG65" t="s">
        <v>82</v>
      </c>
      <c r="BH65">
        <v>3</v>
      </c>
      <c r="BI65" t="s">
        <v>1577</v>
      </c>
      <c r="BJ65" s="2" t="s">
        <v>1578</v>
      </c>
      <c r="BK65" t="str">
        <f>"12777 COASTAL DRIVE "</f>
        <v xml:space="preserve">12777 COASTAL DRIVE </v>
      </c>
      <c r="BL65" t="str">
        <f>"CAPITOL HILLS"</f>
        <v>CAPITOL HILLS</v>
      </c>
      <c r="BM65" t="str">
        <f>"SAIPAN"</f>
        <v>SAIPAN</v>
      </c>
      <c r="BO65" t="s">
        <v>83</v>
      </c>
      <c r="BP65" s="4" t="str">
        <f t="shared" si="23"/>
        <v>96950</v>
      </c>
      <c r="BQ65" t="s">
        <v>79</v>
      </c>
      <c r="BR65" t="str">
        <f>"47-2051.00"</f>
        <v>47-2051.00</v>
      </c>
      <c r="BS65" t="s">
        <v>113</v>
      </c>
      <c r="BT65" s="3">
        <v>8.5500000000000007</v>
      </c>
      <c r="BU65" t="s">
        <v>80</v>
      </c>
      <c r="BV65" t="s">
        <v>90</v>
      </c>
      <c r="BW65" t="s">
        <v>92</v>
      </c>
      <c r="BZ65" s="1">
        <v>45107</v>
      </c>
    </row>
    <row r="66" spans="1:78" ht="15" customHeight="1" x14ac:dyDescent="0.25">
      <c r="A66" t="s">
        <v>1579</v>
      </c>
      <c r="B66" t="s">
        <v>94</v>
      </c>
      <c r="C66" s="1">
        <v>44874</v>
      </c>
      <c r="D66" s="1">
        <v>44914</v>
      </c>
      <c r="H66" t="s">
        <v>78</v>
      </c>
      <c r="I66" t="str">
        <f>"SABLAN"</f>
        <v>SABLAN</v>
      </c>
      <c r="J66" t="str">
        <f>"MARY ANN"</f>
        <v>MARY ANN</v>
      </c>
      <c r="K66" t="str">
        <f>"FLORENDO"</f>
        <v>FLORENDO</v>
      </c>
      <c r="L66" t="str">
        <f>"V-PRESIDENT"</f>
        <v>V-PRESIDENT</v>
      </c>
      <c r="M66" t="str">
        <f>"12776 COASTAL DRIVE"</f>
        <v>12776 COASTAL DRIVE</v>
      </c>
      <c r="N66" t="str">
        <f>"CAPITOL HILLS"</f>
        <v>CAPITOL HILLS</v>
      </c>
      <c r="O66" t="str">
        <f>"SAIPAN"</f>
        <v>SAIPAN</v>
      </c>
      <c r="P66" t="str">
        <f t="shared" si="24"/>
        <v>MP</v>
      </c>
      <c r="Q66" s="4" t="str">
        <f t="shared" si="21"/>
        <v>96950</v>
      </c>
      <c r="R66" t="str">
        <f t="shared" ref="R66:R129" si="25">"UNITED STATES OF AMERICA"</f>
        <v>UNITED STATES OF AMERICA</v>
      </c>
      <c r="S66" t="str">
        <f>""</f>
        <v/>
      </c>
      <c r="T66" s="5" t="str">
        <f>"16704839683"</f>
        <v>16704839683</v>
      </c>
      <c r="U66" t="str">
        <f>""</f>
        <v/>
      </c>
      <c r="V66" s="5" t="str">
        <f>""</f>
        <v/>
      </c>
      <c r="W66" t="str">
        <f>"mfsablan@candmholdingcompany.com"</f>
        <v>mfsablan@candmholdingcompany.com</v>
      </c>
      <c r="X66" t="str">
        <f>"C &amp; M HOLDING COMPANY"</f>
        <v>C &amp; M HOLDING COMPANY</v>
      </c>
      <c r="Y66" t="str">
        <f>"ISLAND CONSTRUCTION AND EQUIPMENT COMPANY"</f>
        <v>ISLAND CONSTRUCTION AND EQUIPMENT COMPANY</v>
      </c>
      <c r="Z66" t="str">
        <f>"12777 COASTAL DRIVE, CAPITOL HILLS"</f>
        <v>12777 COASTAL DRIVE, CAPITOL HILLS</v>
      </c>
      <c r="AA66" t="str">
        <f>"P. O. BOX 503776"</f>
        <v>P. O. BOX 503776</v>
      </c>
      <c r="AB66" t="str">
        <f>"SAIPAN"</f>
        <v>SAIPAN</v>
      </c>
      <c r="AC66" t="str">
        <f t="shared" ref="AC66:AC129" si="26">"MP"</f>
        <v>MP</v>
      </c>
      <c r="AD66" t="str">
        <f t="shared" si="22"/>
        <v>96950</v>
      </c>
      <c r="AE66" t="str">
        <f t="shared" ref="AE66:AE129" si="27">"UNITED STATES OF AMERICA"</f>
        <v>UNITED STATES OF AMERICA</v>
      </c>
      <c r="AF66" t="str">
        <f>""</f>
        <v/>
      </c>
      <c r="AG66" s="4" t="str">
        <f>"16702342008"</f>
        <v>16702342008</v>
      </c>
      <c r="AH66" t="str">
        <f>""</f>
        <v/>
      </c>
      <c r="AI66" t="str">
        <f>"236220"</f>
        <v>236220</v>
      </c>
      <c r="AJ66" t="s">
        <v>79</v>
      </c>
      <c r="AK66" t="s">
        <v>79</v>
      </c>
      <c r="AL66" t="s">
        <v>80</v>
      </c>
      <c r="AM66" t="s">
        <v>79</v>
      </c>
      <c r="AP66" t="str">
        <f>"GENERAL MAINTENANCE AND REPAIR WORKER"</f>
        <v>GENERAL MAINTENANCE AND REPAIR WORKER</v>
      </c>
      <c r="AQ66" t="str">
        <f>"49-9071.00"</f>
        <v>49-9071.00</v>
      </c>
      <c r="AR66" t="str">
        <f>"Maintenance and Repair Workers, General"</f>
        <v>Maintenance and Repair Workers, General</v>
      </c>
      <c r="AS66" t="str">
        <f>"N/A"</f>
        <v>N/A</v>
      </c>
      <c r="AT66" t="s">
        <v>79</v>
      </c>
      <c r="AU66" t="str">
        <f>""</f>
        <v/>
      </c>
      <c r="AV66" t="str">
        <f>""</f>
        <v/>
      </c>
      <c r="AW66" t="s">
        <v>79</v>
      </c>
      <c r="AX66" t="str">
        <f>""</f>
        <v/>
      </c>
      <c r="AY66" t="s">
        <v>81</v>
      </c>
      <c r="BA66" t="s">
        <v>80</v>
      </c>
      <c r="BB66" t="s">
        <v>79</v>
      </c>
      <c r="BD66" t="s">
        <v>79</v>
      </c>
      <c r="BG66" t="s">
        <v>82</v>
      </c>
      <c r="BH66">
        <v>24</v>
      </c>
      <c r="BI66" t="s">
        <v>1580</v>
      </c>
      <c r="BJ66" s="2" t="s">
        <v>1581</v>
      </c>
      <c r="BK66" t="str">
        <f>"12777 COASTAL DRIVE"</f>
        <v>12777 COASTAL DRIVE</v>
      </c>
      <c r="BL66" t="str">
        <f>"CAPITOL HILLS"</f>
        <v>CAPITOL HILLS</v>
      </c>
      <c r="BM66" t="str">
        <f>"SAIPAN"</f>
        <v>SAIPAN</v>
      </c>
      <c r="BO66" t="s">
        <v>83</v>
      </c>
      <c r="BP66" s="4" t="str">
        <f t="shared" si="23"/>
        <v>96950</v>
      </c>
      <c r="BQ66" t="s">
        <v>79</v>
      </c>
      <c r="BR66" t="str">
        <f>"49-9071.00"</f>
        <v>49-9071.00</v>
      </c>
      <c r="BS66" t="s">
        <v>146</v>
      </c>
      <c r="BT66" s="3">
        <v>9.19</v>
      </c>
      <c r="BU66" t="s">
        <v>80</v>
      </c>
      <c r="BV66" t="s">
        <v>90</v>
      </c>
      <c r="BW66" t="s">
        <v>92</v>
      </c>
      <c r="BZ66" s="1">
        <v>45107</v>
      </c>
    </row>
    <row r="67" spans="1:78" ht="15" customHeight="1" x14ac:dyDescent="0.25">
      <c r="A67" t="s">
        <v>1546</v>
      </c>
      <c r="B67" t="s">
        <v>94</v>
      </c>
      <c r="C67" s="1">
        <v>44873</v>
      </c>
      <c r="D67" s="1">
        <v>44914</v>
      </c>
      <c r="H67" t="s">
        <v>78</v>
      </c>
      <c r="I67" t="str">
        <f>"POWER"</f>
        <v>POWER</v>
      </c>
      <c r="J67" t="str">
        <f>"DONALD"</f>
        <v>DONALD</v>
      </c>
      <c r="K67" t="str">
        <f>"J"</f>
        <v>J</v>
      </c>
      <c r="L67" t="str">
        <f>"President"</f>
        <v>President</v>
      </c>
      <c r="M67" t="str">
        <f>"P.O. Box 520010"</f>
        <v>P.O. Box 520010</v>
      </c>
      <c r="N67" t="str">
        <f>"San Jose Village"</f>
        <v>San Jose Village</v>
      </c>
      <c r="O67" t="str">
        <f>"Tinian"</f>
        <v>Tinian</v>
      </c>
      <c r="P67" t="str">
        <f t="shared" si="24"/>
        <v>MP</v>
      </c>
      <c r="Q67" s="4" t="str">
        <f>"96952"</f>
        <v>96952</v>
      </c>
      <c r="R67" t="str">
        <f t="shared" si="25"/>
        <v>UNITED STATES OF AMERICA</v>
      </c>
      <c r="S67" t="str">
        <f>""</f>
        <v/>
      </c>
      <c r="T67" s="5" t="str">
        <f>"16704330422"</f>
        <v>16704330422</v>
      </c>
      <c r="U67" t="str">
        <f>""</f>
        <v/>
      </c>
      <c r="V67" s="5" t="str">
        <f>""</f>
        <v/>
      </c>
      <c r="W67" t="str">
        <f>"jlibut@hawaiianrock.com"</f>
        <v>jlibut@hawaiianrock.com</v>
      </c>
      <c r="X67" t="str">
        <f>"Tinian Ice &amp; Water Bottling Co."</f>
        <v>Tinian Ice &amp; Water Bottling Co.</v>
      </c>
      <c r="Y67" t="str">
        <f>""</f>
        <v/>
      </c>
      <c r="Z67" t="str">
        <f>"P.O. Box 520010"</f>
        <v>P.O. Box 520010</v>
      </c>
      <c r="AA67" t="str">
        <f>"San Jose Village"</f>
        <v>San Jose Village</v>
      </c>
      <c r="AB67" t="str">
        <f>"Tinian"</f>
        <v>Tinian</v>
      </c>
      <c r="AC67" t="str">
        <f t="shared" si="26"/>
        <v>MP</v>
      </c>
      <c r="AD67" t="str">
        <f>"96952"</f>
        <v>96952</v>
      </c>
      <c r="AE67" t="str">
        <f t="shared" si="27"/>
        <v>UNITED STATES OF AMERICA</v>
      </c>
      <c r="AF67" t="str">
        <f>""</f>
        <v/>
      </c>
      <c r="AG67" s="4" t="str">
        <f>"16704330422"</f>
        <v>16704330422</v>
      </c>
      <c r="AH67" t="str">
        <f>""</f>
        <v/>
      </c>
      <c r="AI67" t="str">
        <f>"312112"</f>
        <v>312112</v>
      </c>
      <c r="AJ67" t="s">
        <v>79</v>
      </c>
      <c r="AK67" t="s">
        <v>79</v>
      </c>
      <c r="AL67" t="s">
        <v>80</v>
      </c>
      <c r="AM67" t="s">
        <v>79</v>
      </c>
      <c r="AP67" t="str">
        <f>"Accounting Clerk"</f>
        <v>Accounting Clerk</v>
      </c>
      <c r="AQ67" t="str">
        <f>"43-3031.00"</f>
        <v>43-3031.00</v>
      </c>
      <c r="AR67" t="str">
        <f>"Bookkeeping, Accounting, and Auditing Clerks"</f>
        <v>Bookkeeping, Accounting, and Auditing Clerks</v>
      </c>
      <c r="AS67" t="str">
        <f>"Accountant"</f>
        <v>Accountant</v>
      </c>
      <c r="AT67" t="s">
        <v>79</v>
      </c>
      <c r="AU67" t="str">
        <f>""</f>
        <v/>
      </c>
      <c r="AV67" t="str">
        <f>""</f>
        <v/>
      </c>
      <c r="AW67" t="s">
        <v>79</v>
      </c>
      <c r="AX67" t="str">
        <f>""</f>
        <v/>
      </c>
      <c r="AY67" t="s">
        <v>124</v>
      </c>
      <c r="BA67" t="s">
        <v>130</v>
      </c>
      <c r="BB67" t="s">
        <v>79</v>
      </c>
      <c r="BD67" t="s">
        <v>79</v>
      </c>
      <c r="BG67" t="s">
        <v>82</v>
      </c>
      <c r="BH67">
        <v>12</v>
      </c>
      <c r="BI67" t="s">
        <v>529</v>
      </c>
      <c r="BJ67" t="s">
        <v>1547</v>
      </c>
      <c r="BK67" t="str">
        <f>"Canal St. San Jose Village"</f>
        <v>Canal St. San Jose Village</v>
      </c>
      <c r="BL67" t="str">
        <f>""</f>
        <v/>
      </c>
      <c r="BM67" t="str">
        <f>"Tinian"</f>
        <v>Tinian</v>
      </c>
      <c r="BO67" t="s">
        <v>83</v>
      </c>
      <c r="BP67" s="4" t="str">
        <f>"96952"</f>
        <v>96952</v>
      </c>
      <c r="BQ67" t="s">
        <v>79</v>
      </c>
      <c r="BR67" t="str">
        <f>"43-3031.00"</f>
        <v>43-3031.00</v>
      </c>
      <c r="BS67" t="s">
        <v>142</v>
      </c>
      <c r="BT67" s="3">
        <v>11.21</v>
      </c>
      <c r="BU67" t="s">
        <v>80</v>
      </c>
      <c r="BV67" t="s">
        <v>90</v>
      </c>
      <c r="BW67" t="s">
        <v>92</v>
      </c>
      <c r="BZ67" s="1">
        <v>45107</v>
      </c>
    </row>
    <row r="68" spans="1:78" ht="15" customHeight="1" x14ac:dyDescent="0.25">
      <c r="A68" t="s">
        <v>1548</v>
      </c>
      <c r="B68" t="s">
        <v>94</v>
      </c>
      <c r="C68" s="1">
        <v>44873</v>
      </c>
      <c r="D68" s="1">
        <v>44914</v>
      </c>
      <c r="H68" t="s">
        <v>78</v>
      </c>
      <c r="I68" t="str">
        <f>"Miao"</f>
        <v>Miao</v>
      </c>
      <c r="J68" t="str">
        <f>"Guojun"</f>
        <v>Guojun</v>
      </c>
      <c r="K68" t="str">
        <f>""</f>
        <v/>
      </c>
      <c r="L68" t="str">
        <f>"President"</f>
        <v>President</v>
      </c>
      <c r="M68" t="str">
        <f>"PMB 778 P.O Box 10003"</f>
        <v>PMB 778 P.O Box 10003</v>
      </c>
      <c r="N68" t="str">
        <f>""</f>
        <v/>
      </c>
      <c r="O68" t="str">
        <f>"Saipan"</f>
        <v>Saipan</v>
      </c>
      <c r="P68" t="str">
        <f t="shared" si="24"/>
        <v>MP</v>
      </c>
      <c r="Q68" s="4" t="str">
        <f>"96950"</f>
        <v>96950</v>
      </c>
      <c r="R68" t="str">
        <f t="shared" si="25"/>
        <v>UNITED STATES OF AMERICA</v>
      </c>
      <c r="S68" t="str">
        <f>""</f>
        <v/>
      </c>
      <c r="T68" s="5" t="str">
        <f>"16703221558"</f>
        <v>16703221558</v>
      </c>
      <c r="U68" t="str">
        <f>""</f>
        <v/>
      </c>
      <c r="V68" s="5" t="str">
        <f>""</f>
        <v/>
      </c>
      <c r="W68" t="str">
        <f>"successfulmgj2010@gmail.com"</f>
        <v>successfulmgj2010@gmail.com</v>
      </c>
      <c r="X68" t="str">
        <f>"Success International Corporation"</f>
        <v>Success International Corporation</v>
      </c>
      <c r="Y68" t="str">
        <f>"Success International Corporation"</f>
        <v>Success International Corporation</v>
      </c>
      <c r="Z68" t="str">
        <f>"PMB 778 P.O Box 10003"</f>
        <v>PMB 778 P.O Box 10003</v>
      </c>
      <c r="AA68" t="str">
        <f>""</f>
        <v/>
      </c>
      <c r="AB68" t="str">
        <f>"Saipan"</f>
        <v>Saipan</v>
      </c>
      <c r="AC68" t="str">
        <f t="shared" si="26"/>
        <v>MP</v>
      </c>
      <c r="AD68" t="str">
        <f>"96950"</f>
        <v>96950</v>
      </c>
      <c r="AE68" t="str">
        <f t="shared" si="27"/>
        <v>UNITED STATES OF AMERICA</v>
      </c>
      <c r="AF68" t="str">
        <f>""</f>
        <v/>
      </c>
      <c r="AG68" s="4" t="str">
        <f>"16703221558"</f>
        <v>16703221558</v>
      </c>
      <c r="AH68" t="str">
        <f>""</f>
        <v/>
      </c>
      <c r="AI68" t="str">
        <f>"212311"</f>
        <v>212311</v>
      </c>
      <c r="AJ68" t="s">
        <v>79</v>
      </c>
      <c r="AK68" t="s">
        <v>79</v>
      </c>
      <c r="AL68" t="s">
        <v>80</v>
      </c>
      <c r="AM68" t="s">
        <v>79</v>
      </c>
      <c r="AP68" t="str">
        <f>"Heavy and Tractor-Trailer Truck Driver"</f>
        <v>Heavy and Tractor-Trailer Truck Driver</v>
      </c>
      <c r="AQ68" t="str">
        <f>"53-3032.00"</f>
        <v>53-3032.00</v>
      </c>
      <c r="AR68" t="str">
        <f>"Heavy and Tractor-Trailer Truck Drivers"</f>
        <v>Heavy and Tractor-Trailer Truck Drivers</v>
      </c>
      <c r="AS68" t="str">
        <f>"None"</f>
        <v>None</v>
      </c>
      <c r="AT68" t="s">
        <v>79</v>
      </c>
      <c r="AU68" t="str">
        <f>""</f>
        <v/>
      </c>
      <c r="AV68" t="str">
        <f>""</f>
        <v/>
      </c>
      <c r="AW68" t="s">
        <v>79</v>
      </c>
      <c r="AX68" t="str">
        <f>""</f>
        <v/>
      </c>
      <c r="AY68" t="s">
        <v>81</v>
      </c>
      <c r="BA68" t="s">
        <v>81</v>
      </c>
      <c r="BB68" t="s">
        <v>79</v>
      </c>
      <c r="BD68" t="s">
        <v>79</v>
      </c>
      <c r="BG68" t="s">
        <v>82</v>
      </c>
      <c r="BH68">
        <v>12</v>
      </c>
      <c r="BI68" t="s">
        <v>1549</v>
      </c>
      <c r="BJ68" t="s">
        <v>1550</v>
      </c>
      <c r="BK68" t="str">
        <f>"1st Door Pacific Quick Print Bldg"</f>
        <v>1st Door Pacific Quick Print Bldg</v>
      </c>
      <c r="BL68" t="str">
        <f>"Middle Rd Garapan"</f>
        <v>Middle Rd Garapan</v>
      </c>
      <c r="BM68" t="str">
        <f>"Saipan"</f>
        <v>Saipan</v>
      </c>
      <c r="BO68" t="s">
        <v>83</v>
      </c>
      <c r="BP68" s="4" t="str">
        <f>"96950"</f>
        <v>96950</v>
      </c>
      <c r="BQ68" t="s">
        <v>79</v>
      </c>
      <c r="BR68" t="str">
        <f>"53-3032.00"</f>
        <v>53-3032.00</v>
      </c>
      <c r="BS68" t="s">
        <v>829</v>
      </c>
      <c r="BT68" s="3">
        <v>10.09</v>
      </c>
      <c r="BU68" t="s">
        <v>80</v>
      </c>
      <c r="BV68" t="s">
        <v>90</v>
      </c>
      <c r="BW68" t="s">
        <v>92</v>
      </c>
      <c r="BZ68" s="1">
        <v>45107</v>
      </c>
    </row>
    <row r="69" spans="1:78" ht="15" customHeight="1" x14ac:dyDescent="0.25">
      <c r="A69" t="s">
        <v>1551</v>
      </c>
      <c r="B69" t="s">
        <v>94</v>
      </c>
      <c r="C69" s="1">
        <v>44873</v>
      </c>
      <c r="D69" s="1">
        <v>44914</v>
      </c>
      <c r="H69" t="s">
        <v>78</v>
      </c>
      <c r="I69" t="str">
        <f>"POWER"</f>
        <v>POWER</v>
      </c>
      <c r="J69" t="str">
        <f>"DONALD"</f>
        <v>DONALD</v>
      </c>
      <c r="K69" t="str">
        <f>"JAMES"</f>
        <v>JAMES</v>
      </c>
      <c r="L69" t="str">
        <f>"Vice-President"</f>
        <v>Vice-President</v>
      </c>
      <c r="M69" t="str">
        <f>"10 Grand St. San Jose Village"</f>
        <v>10 Grand St. San Jose Village</v>
      </c>
      <c r="N69" t="str">
        <f>""</f>
        <v/>
      </c>
      <c r="O69" t="str">
        <f>"Tinian"</f>
        <v>Tinian</v>
      </c>
      <c r="P69" t="str">
        <f t="shared" si="24"/>
        <v>MP</v>
      </c>
      <c r="Q69" s="4" t="str">
        <f>"96952"</f>
        <v>96952</v>
      </c>
      <c r="R69" t="str">
        <f t="shared" si="25"/>
        <v>UNITED STATES OF AMERICA</v>
      </c>
      <c r="S69" t="str">
        <f>""</f>
        <v/>
      </c>
      <c r="T69" s="5" t="str">
        <f>"16704330422"</f>
        <v>16704330422</v>
      </c>
      <c r="U69" t="str">
        <f>""</f>
        <v/>
      </c>
      <c r="V69" s="5" t="str">
        <f>""</f>
        <v/>
      </c>
      <c r="W69" t="str">
        <f>"jlibut@hawaiianrock.com"</f>
        <v>jlibut@hawaiianrock.com</v>
      </c>
      <c r="X69" t="str">
        <f>"FPA Pacific Corp."</f>
        <v>FPA Pacific Corp.</v>
      </c>
      <c r="Y69" t="str">
        <f>""</f>
        <v/>
      </c>
      <c r="Z69" t="str">
        <f>"10 Grand St. San Jose Village"</f>
        <v>10 Grand St. San Jose Village</v>
      </c>
      <c r="AA69" t="str">
        <f>""</f>
        <v/>
      </c>
      <c r="AB69" t="str">
        <f>"Tinian"</f>
        <v>Tinian</v>
      </c>
      <c r="AC69" t="str">
        <f t="shared" si="26"/>
        <v>MP</v>
      </c>
      <c r="AD69" t="str">
        <f>"96952"</f>
        <v>96952</v>
      </c>
      <c r="AE69" t="str">
        <f t="shared" si="27"/>
        <v>UNITED STATES OF AMERICA</v>
      </c>
      <c r="AF69" t="str">
        <f>""</f>
        <v/>
      </c>
      <c r="AG69" s="4" t="str">
        <f>"16704330422"</f>
        <v>16704330422</v>
      </c>
      <c r="AH69" t="str">
        <f>""</f>
        <v/>
      </c>
      <c r="AI69" t="str">
        <f>"212312"</f>
        <v>212312</v>
      </c>
      <c r="AJ69" t="s">
        <v>79</v>
      </c>
      <c r="AK69" t="s">
        <v>79</v>
      </c>
      <c r="AL69" t="s">
        <v>80</v>
      </c>
      <c r="AM69" t="s">
        <v>79</v>
      </c>
      <c r="AP69" t="str">
        <f>"Welding and Soldering Machine Operators"</f>
        <v>Welding and Soldering Machine Operators</v>
      </c>
      <c r="AQ69" t="str">
        <f>"51-4122.00"</f>
        <v>51-4122.00</v>
      </c>
      <c r="AR69" t="str">
        <f>"Welding, Soldering, and Brazing Machine Setters, Operators, and Tenders"</f>
        <v>Welding, Soldering, and Brazing Machine Setters, Operators, and Tenders</v>
      </c>
      <c r="AS69" t="str">
        <f>"Manager"</f>
        <v>Manager</v>
      </c>
      <c r="AT69" t="s">
        <v>79</v>
      </c>
      <c r="AU69" t="str">
        <f>""</f>
        <v/>
      </c>
      <c r="AV69" t="str">
        <f>""</f>
        <v/>
      </c>
      <c r="AW69" t="s">
        <v>79</v>
      </c>
      <c r="AX69" t="str">
        <f>""</f>
        <v/>
      </c>
      <c r="AY69" t="s">
        <v>81</v>
      </c>
      <c r="BA69" t="s">
        <v>80</v>
      </c>
      <c r="BB69" t="s">
        <v>79</v>
      </c>
      <c r="BD69" t="s">
        <v>79</v>
      </c>
      <c r="BG69" t="s">
        <v>82</v>
      </c>
      <c r="BH69">
        <v>12</v>
      </c>
      <c r="BI69" t="s">
        <v>1552</v>
      </c>
      <c r="BJ69" t="s">
        <v>1553</v>
      </c>
      <c r="BK69" t="str">
        <f>"10 Grand St. San Jose Village"</f>
        <v>10 Grand St. San Jose Village</v>
      </c>
      <c r="BL69" t="str">
        <f>""</f>
        <v/>
      </c>
      <c r="BM69" t="str">
        <f>"Tinian"</f>
        <v>Tinian</v>
      </c>
      <c r="BO69" t="s">
        <v>83</v>
      </c>
      <c r="BP69" s="4" t="str">
        <f>"96952"</f>
        <v>96952</v>
      </c>
      <c r="BQ69" t="s">
        <v>79</v>
      </c>
      <c r="BR69" t="str">
        <f>"51-4122.00"</f>
        <v>51-4122.00</v>
      </c>
      <c r="BS69" t="s">
        <v>787</v>
      </c>
      <c r="BT69" s="3">
        <v>14.04</v>
      </c>
      <c r="BU69" t="s">
        <v>80</v>
      </c>
      <c r="BV69" t="s">
        <v>90</v>
      </c>
      <c r="BW69" t="s">
        <v>265</v>
      </c>
      <c r="BZ69" s="1">
        <v>45107</v>
      </c>
    </row>
    <row r="70" spans="1:78" ht="15" customHeight="1" x14ac:dyDescent="0.25">
      <c r="A70" t="s">
        <v>1554</v>
      </c>
      <c r="B70" t="s">
        <v>94</v>
      </c>
      <c r="C70" s="1">
        <v>44873</v>
      </c>
      <c r="D70" s="1">
        <v>44914</v>
      </c>
      <c r="H70" t="s">
        <v>78</v>
      </c>
      <c r="I70" t="str">
        <f>"Cataluna"</f>
        <v>Cataluna</v>
      </c>
      <c r="J70" t="str">
        <f>"Freddie"</f>
        <v>Freddie</v>
      </c>
      <c r="K70" t="str">
        <f>"Zamora"</f>
        <v>Zamora</v>
      </c>
      <c r="L70" t="str">
        <f>"President"</f>
        <v>President</v>
      </c>
      <c r="M70" t="str">
        <f>"P.O Box 503984"</f>
        <v>P.O Box 503984</v>
      </c>
      <c r="N70" t="str">
        <f>""</f>
        <v/>
      </c>
      <c r="O70" t="str">
        <f>"Saipan"</f>
        <v>Saipan</v>
      </c>
      <c r="P70" t="str">
        <f t="shared" si="24"/>
        <v>MP</v>
      </c>
      <c r="Q70" s="4" t="str">
        <f t="shared" ref="Q70:Q93" si="28">"96950"</f>
        <v>96950</v>
      </c>
      <c r="R70" t="str">
        <f t="shared" si="25"/>
        <v>UNITED STATES OF AMERICA</v>
      </c>
      <c r="S70" t="str">
        <f>"N/A"</f>
        <v>N/A</v>
      </c>
      <c r="T70" s="5" t="str">
        <f>"16702336927"</f>
        <v>16702336927</v>
      </c>
      <c r="U70" t="str">
        <f>""</f>
        <v/>
      </c>
      <c r="V70" s="5" t="str">
        <f>""</f>
        <v/>
      </c>
      <c r="W70" t="str">
        <f>"cpacificcorp@gmail.com"</f>
        <v>cpacificcorp@gmail.com</v>
      </c>
      <c r="X70" t="str">
        <f>"C Pacific Corporation"</f>
        <v>C Pacific Corporation</v>
      </c>
      <c r="Y70" t="str">
        <f>"Reliance Help Supply"</f>
        <v>Reliance Help Supply</v>
      </c>
      <c r="Z70" t="str">
        <f>"P.O Box 503984"</f>
        <v>P.O Box 503984</v>
      </c>
      <c r="AA70" t="str">
        <f>""</f>
        <v/>
      </c>
      <c r="AB70" t="str">
        <f>"Saipan"</f>
        <v>Saipan</v>
      </c>
      <c r="AC70" t="str">
        <f t="shared" si="26"/>
        <v>MP</v>
      </c>
      <c r="AD70" t="str">
        <f t="shared" ref="AD70:AD93" si="29">"96950"</f>
        <v>96950</v>
      </c>
      <c r="AE70" t="str">
        <f t="shared" si="27"/>
        <v>UNITED STATES OF AMERICA</v>
      </c>
      <c r="AF70" t="str">
        <f>"N/A"</f>
        <v>N/A</v>
      </c>
      <c r="AG70" s="4" t="str">
        <f>"16702336927"</f>
        <v>16702336927</v>
      </c>
      <c r="AH70" t="str">
        <f>""</f>
        <v/>
      </c>
      <c r="AI70" t="str">
        <f>"561320"</f>
        <v>561320</v>
      </c>
      <c r="AJ70" t="s">
        <v>79</v>
      </c>
      <c r="AK70" t="s">
        <v>79</v>
      </c>
      <c r="AL70" t="s">
        <v>80</v>
      </c>
      <c r="AM70" t="s">
        <v>79</v>
      </c>
      <c r="AP70" t="str">
        <f>"Group Exercise Instructor"</f>
        <v>Group Exercise Instructor</v>
      </c>
      <c r="AQ70" t="str">
        <f>"39-9031.00"</f>
        <v>39-9031.00</v>
      </c>
      <c r="AR70" t="str">
        <f>"Exercise Trainers and Group Fitness Instructors"</f>
        <v>Exercise Trainers and Group Fitness Instructors</v>
      </c>
      <c r="AS70" t="str">
        <f>""</f>
        <v/>
      </c>
      <c r="AT70" t="s">
        <v>79</v>
      </c>
      <c r="AU70" t="str">
        <f>""</f>
        <v/>
      </c>
      <c r="AV70" t="str">
        <f>""</f>
        <v/>
      </c>
      <c r="AW70" t="s">
        <v>79</v>
      </c>
      <c r="AX70" t="str">
        <f>""</f>
        <v/>
      </c>
      <c r="AY70" t="s">
        <v>84</v>
      </c>
      <c r="BA70" t="s">
        <v>80</v>
      </c>
      <c r="BB70" t="s">
        <v>79</v>
      </c>
      <c r="BD70" t="s">
        <v>79</v>
      </c>
      <c r="BG70" t="s">
        <v>82</v>
      </c>
      <c r="BH70">
        <v>12</v>
      </c>
      <c r="BI70" t="s">
        <v>1555</v>
      </c>
      <c r="BJ70" t="s">
        <v>1556</v>
      </c>
      <c r="BK70" t="str">
        <f>"Beach Road San Antonio"</f>
        <v>Beach Road San Antonio</v>
      </c>
      <c r="BL70" t="str">
        <f>""</f>
        <v/>
      </c>
      <c r="BM70" t="str">
        <f>"Saipan"</f>
        <v>Saipan</v>
      </c>
      <c r="BO70" t="s">
        <v>83</v>
      </c>
      <c r="BP70" s="4" t="str">
        <f t="shared" ref="BP70:BP93" si="30">"96950"</f>
        <v>96950</v>
      </c>
      <c r="BQ70" t="s">
        <v>79</v>
      </c>
      <c r="BR70" t="str">
        <f>"39-9031.00"</f>
        <v>39-9031.00</v>
      </c>
      <c r="BS70" t="s">
        <v>1557</v>
      </c>
      <c r="BT70" s="3">
        <v>8.91</v>
      </c>
      <c r="BU70" t="s">
        <v>80</v>
      </c>
      <c r="BV70" t="s">
        <v>90</v>
      </c>
      <c r="BW70" t="s">
        <v>92</v>
      </c>
      <c r="BZ70" s="1">
        <v>45107</v>
      </c>
    </row>
    <row r="71" spans="1:78" ht="15" customHeight="1" x14ac:dyDescent="0.25">
      <c r="A71" t="s">
        <v>1485</v>
      </c>
      <c r="B71" t="s">
        <v>94</v>
      </c>
      <c r="C71" s="1">
        <v>44872</v>
      </c>
      <c r="D71" s="1">
        <v>44914</v>
      </c>
      <c r="H71" t="s">
        <v>78</v>
      </c>
      <c r="I71" t="str">
        <f>"CRUZ"</f>
        <v>CRUZ</v>
      </c>
      <c r="J71" t="str">
        <f>"JOVEN"</f>
        <v>JOVEN</v>
      </c>
      <c r="K71" t="str">
        <f>"ISIP"</f>
        <v>ISIP</v>
      </c>
      <c r="L71" t="str">
        <f>"GENERAL MANAGER"</f>
        <v>GENERAL MANAGER</v>
      </c>
      <c r="M71" t="str">
        <f>"12901 Lower Base Drive"</f>
        <v>12901 Lower Base Drive</v>
      </c>
      <c r="N71" t="str">
        <f>"Lower Base"</f>
        <v>Lower Base</v>
      </c>
      <c r="O71" t="str">
        <f>"Saipan"</f>
        <v>Saipan</v>
      </c>
      <c r="P71" t="str">
        <f t="shared" si="24"/>
        <v>MP</v>
      </c>
      <c r="Q71" s="4" t="str">
        <f t="shared" si="28"/>
        <v>96950</v>
      </c>
      <c r="R71" t="str">
        <f t="shared" si="25"/>
        <v>UNITED STATES OF AMERICA</v>
      </c>
      <c r="S71" t="str">
        <f>""</f>
        <v/>
      </c>
      <c r="T71" s="5" t="str">
        <f>"16703221690"</f>
        <v>16703221690</v>
      </c>
      <c r="U71" t="str">
        <f>"408"</f>
        <v>408</v>
      </c>
      <c r="V71" s="5" t="str">
        <f>""</f>
        <v/>
      </c>
      <c r="W71" t="str">
        <f>"hrd@ctsi-logistics.com"</f>
        <v>hrd@ctsi-logistics.com</v>
      </c>
      <c r="X71" t="str">
        <f>"Consolidated Transportation Services Inc"</f>
        <v>Consolidated Transportation Services Inc</v>
      </c>
      <c r="Y71" t="str">
        <f>" CTSI Logistics"</f>
        <v xml:space="preserve"> CTSI Logistics</v>
      </c>
      <c r="Z71" t="str">
        <f>"12901 Lower Base Drive"</f>
        <v>12901 Lower Base Drive</v>
      </c>
      <c r="AA71" t="str">
        <f>"Lower Base"</f>
        <v>Lower Base</v>
      </c>
      <c r="AB71" t="str">
        <f>"Saipan"</f>
        <v>Saipan</v>
      </c>
      <c r="AC71" t="str">
        <f t="shared" si="26"/>
        <v>MP</v>
      </c>
      <c r="AD71" t="str">
        <f t="shared" si="29"/>
        <v>96950</v>
      </c>
      <c r="AE71" t="str">
        <f t="shared" si="27"/>
        <v>UNITED STATES OF AMERICA</v>
      </c>
      <c r="AF71" t="str">
        <f>""</f>
        <v/>
      </c>
      <c r="AG71" s="4" t="str">
        <f>"16703221690"</f>
        <v>16703221690</v>
      </c>
      <c r="AH71" t="str">
        <f>""</f>
        <v/>
      </c>
      <c r="AI71" t="str">
        <f>"488510"</f>
        <v>488510</v>
      </c>
      <c r="AJ71" t="s">
        <v>79</v>
      </c>
      <c r="AK71" t="s">
        <v>79</v>
      </c>
      <c r="AL71" t="s">
        <v>80</v>
      </c>
      <c r="AM71" t="s">
        <v>79</v>
      </c>
      <c r="AP71" t="str">
        <f>"Automotive Mechanic"</f>
        <v>Automotive Mechanic</v>
      </c>
      <c r="AQ71" t="str">
        <f>"49-3023.00"</f>
        <v>49-3023.00</v>
      </c>
      <c r="AR71" t="str">
        <f>"Automotive Service Technicians and Mechanics"</f>
        <v>Automotive Service Technicians and Mechanics</v>
      </c>
      <c r="AS71" t="str">
        <f>"General Manager"</f>
        <v>General Manager</v>
      </c>
      <c r="AT71" t="s">
        <v>79</v>
      </c>
      <c r="AU71" t="str">
        <f>""</f>
        <v/>
      </c>
      <c r="AV71" t="str">
        <f>""</f>
        <v/>
      </c>
      <c r="AW71" t="s">
        <v>79</v>
      </c>
      <c r="AX71" t="str">
        <f>""</f>
        <v/>
      </c>
      <c r="AY71" t="s">
        <v>84</v>
      </c>
      <c r="BA71" t="s">
        <v>80</v>
      </c>
      <c r="BB71" t="s">
        <v>79</v>
      </c>
      <c r="BD71" t="s">
        <v>79</v>
      </c>
      <c r="BG71" t="s">
        <v>82</v>
      </c>
      <c r="BH71">
        <v>12</v>
      </c>
      <c r="BI71" t="s">
        <v>1486</v>
      </c>
      <c r="BJ71" t="s">
        <v>1487</v>
      </c>
      <c r="BK71" t="str">
        <f>"CTSI Building "</f>
        <v xml:space="preserve">CTSI Building </v>
      </c>
      <c r="BL71" t="str">
        <f>"12901 Lower Base Drive, Lower Base"</f>
        <v>12901 Lower Base Drive, Lower Base</v>
      </c>
      <c r="BM71" t="str">
        <f>"Saipan"</f>
        <v>Saipan</v>
      </c>
      <c r="BO71" t="s">
        <v>83</v>
      </c>
      <c r="BP71" s="4" t="str">
        <f t="shared" si="30"/>
        <v>96950</v>
      </c>
      <c r="BQ71" t="s">
        <v>79</v>
      </c>
      <c r="BR71" t="str">
        <f>"49-3023.00"</f>
        <v>49-3023.00</v>
      </c>
      <c r="BS71" t="s">
        <v>269</v>
      </c>
      <c r="BT71" s="3">
        <v>9.93</v>
      </c>
      <c r="BU71" t="s">
        <v>80</v>
      </c>
      <c r="BV71" t="s">
        <v>90</v>
      </c>
      <c r="BW71" t="s">
        <v>92</v>
      </c>
      <c r="BZ71" s="1">
        <v>45107</v>
      </c>
    </row>
    <row r="72" spans="1:78" ht="15" customHeight="1" x14ac:dyDescent="0.25">
      <c r="A72" t="s">
        <v>1488</v>
      </c>
      <c r="B72" t="s">
        <v>94</v>
      </c>
      <c r="C72" s="1">
        <v>44872</v>
      </c>
      <c r="D72" s="1">
        <v>44914</v>
      </c>
      <c r="H72" t="s">
        <v>78</v>
      </c>
      <c r="I72" t="str">
        <f>"Alarzar"</f>
        <v>Alarzar</v>
      </c>
      <c r="J72" t="str">
        <f>"Sylvia"</f>
        <v>Sylvia</v>
      </c>
      <c r="K72" t="str">
        <f>"Manago"</f>
        <v>Manago</v>
      </c>
      <c r="L72" t="str">
        <f>"Accountant"</f>
        <v>Accountant</v>
      </c>
      <c r="M72" t="str">
        <f>"P.O. Box 501190, San Antonio"</f>
        <v>P.O. Box 501190, San Antonio</v>
      </c>
      <c r="N72" t="str">
        <f>"Afetna Rd. San Antonio"</f>
        <v>Afetna Rd. San Antonio</v>
      </c>
      <c r="O72" t="str">
        <f>"Saipan"</f>
        <v>Saipan</v>
      </c>
      <c r="P72" t="str">
        <f t="shared" si="24"/>
        <v>MP</v>
      </c>
      <c r="Q72" s="4" t="str">
        <f t="shared" si="28"/>
        <v>96950</v>
      </c>
      <c r="R72" t="str">
        <f t="shared" si="25"/>
        <v>UNITED STATES OF AMERICA</v>
      </c>
      <c r="S72" t="str">
        <f>""</f>
        <v/>
      </c>
      <c r="T72" s="5" t="str">
        <f>"16702343201"</f>
        <v>16702343201</v>
      </c>
      <c r="U72" t="str">
        <f>""</f>
        <v/>
      </c>
      <c r="V72" s="5" t="str">
        <f>""</f>
        <v/>
      </c>
      <c r="W72" t="str">
        <f>"greenstar550707@gmail.com"</f>
        <v>greenstar550707@gmail.com</v>
      </c>
      <c r="X72" t="str">
        <f>"Greenstar Corporation"</f>
        <v>Greenstar Corporation</v>
      </c>
      <c r="Y72" t="str">
        <f>"Caffeina"</f>
        <v>Caffeina</v>
      </c>
      <c r="Z72" t="str">
        <f>"P.O. Box 501190, San Antonio"</f>
        <v>P.O. Box 501190, San Antonio</v>
      </c>
      <c r="AA72" t="str">
        <f>""</f>
        <v/>
      </c>
      <c r="AB72" t="str">
        <f>"Saipan"</f>
        <v>Saipan</v>
      </c>
      <c r="AC72" t="str">
        <f t="shared" si="26"/>
        <v>MP</v>
      </c>
      <c r="AD72" t="str">
        <f t="shared" si="29"/>
        <v>96950</v>
      </c>
      <c r="AE72" t="str">
        <f t="shared" si="27"/>
        <v>UNITED STATES OF AMERICA</v>
      </c>
      <c r="AF72" t="str">
        <f>""</f>
        <v/>
      </c>
      <c r="AG72" s="4" t="str">
        <f>"16702343201"</f>
        <v>16702343201</v>
      </c>
      <c r="AH72" t="str">
        <f>""</f>
        <v/>
      </c>
      <c r="AI72" t="str">
        <f>"722515"</f>
        <v>722515</v>
      </c>
      <c r="AJ72" t="s">
        <v>79</v>
      </c>
      <c r="AK72" t="s">
        <v>79</v>
      </c>
      <c r="AL72" t="s">
        <v>80</v>
      </c>
      <c r="AM72" t="s">
        <v>79</v>
      </c>
      <c r="AP72" t="str">
        <f>"Bartenders"</f>
        <v>Bartenders</v>
      </c>
      <c r="AQ72" t="str">
        <f>"35-3011.00"</f>
        <v>35-3011.00</v>
      </c>
      <c r="AR72" t="str">
        <f>"Bartenders"</f>
        <v>Bartenders</v>
      </c>
      <c r="AS72" t="str">
        <f>""</f>
        <v/>
      </c>
      <c r="AT72" t="s">
        <v>79</v>
      </c>
      <c r="AU72" t="str">
        <f>""</f>
        <v/>
      </c>
      <c r="AV72" t="str">
        <f>""</f>
        <v/>
      </c>
      <c r="AW72" t="s">
        <v>82</v>
      </c>
      <c r="AX72" t="str">
        <f>"from their respective house to worksite"</f>
        <v>from their respective house to worksite</v>
      </c>
      <c r="AY72" t="s">
        <v>81</v>
      </c>
      <c r="BA72" t="s">
        <v>80</v>
      </c>
      <c r="BB72" t="s">
        <v>79</v>
      </c>
      <c r="BD72" t="s">
        <v>79</v>
      </c>
      <c r="BG72" t="s">
        <v>82</v>
      </c>
      <c r="BH72">
        <v>6</v>
      </c>
      <c r="BI72" t="s">
        <v>661</v>
      </c>
      <c r="BJ72" t="s">
        <v>1489</v>
      </c>
      <c r="BK72" t="str">
        <f>"Beach Road, Garapan"</f>
        <v>Beach Road, Garapan</v>
      </c>
      <c r="BL72" t="str">
        <f>""</f>
        <v/>
      </c>
      <c r="BM72" t="str">
        <f>"Saipan "</f>
        <v xml:space="preserve">Saipan </v>
      </c>
      <c r="BO72" t="s">
        <v>83</v>
      </c>
      <c r="BP72" s="4" t="str">
        <f t="shared" si="30"/>
        <v>96950</v>
      </c>
      <c r="BQ72" t="s">
        <v>79</v>
      </c>
      <c r="BR72" t="str">
        <f>"35-3011.00"</f>
        <v>35-3011.00</v>
      </c>
      <c r="BS72" t="s">
        <v>661</v>
      </c>
      <c r="BT72" s="3">
        <v>8.3800000000000008</v>
      </c>
      <c r="BU72" t="s">
        <v>80</v>
      </c>
      <c r="BV72" t="s">
        <v>90</v>
      </c>
      <c r="BW72" t="s">
        <v>92</v>
      </c>
      <c r="BZ72" s="1">
        <v>45107</v>
      </c>
    </row>
    <row r="73" spans="1:78" ht="15" customHeight="1" x14ac:dyDescent="0.25">
      <c r="A73" t="s">
        <v>1490</v>
      </c>
      <c r="B73" t="s">
        <v>94</v>
      </c>
      <c r="C73" s="1">
        <v>44872</v>
      </c>
      <c r="D73" s="1">
        <v>44914</v>
      </c>
      <c r="H73" t="s">
        <v>78</v>
      </c>
      <c r="I73" t="str">
        <f>"Beltran"</f>
        <v>Beltran</v>
      </c>
      <c r="J73" t="str">
        <f>"Maria"</f>
        <v>Maria</v>
      </c>
      <c r="K73" t="str">
        <f>"Butiong"</f>
        <v>Butiong</v>
      </c>
      <c r="L73" t="str">
        <f>"Accounting Manager"</f>
        <v>Accounting Manager</v>
      </c>
      <c r="M73" t="str">
        <f>"PMB 1020 PO Box 10000"</f>
        <v>PMB 1020 PO Box 10000</v>
      </c>
      <c r="N73" t="str">
        <f>"Kagman Rd Rte 34"</f>
        <v>Kagman Rd Rte 34</v>
      </c>
      <c r="O73" t="str">
        <f>"Saipan"</f>
        <v>Saipan</v>
      </c>
      <c r="P73" t="str">
        <f t="shared" si="24"/>
        <v>MP</v>
      </c>
      <c r="Q73" s="4" t="str">
        <f t="shared" si="28"/>
        <v>96950</v>
      </c>
      <c r="R73" t="str">
        <f t="shared" si="25"/>
        <v>UNITED STATES OF AMERICA</v>
      </c>
      <c r="S73" t="str">
        <f>"Kagman III"</f>
        <v>Kagman III</v>
      </c>
      <c r="T73" s="5" t="str">
        <f>"16702368874"</f>
        <v>16702368874</v>
      </c>
      <c r="U73" t="str">
        <f>""</f>
        <v/>
      </c>
      <c r="V73" s="5" t="str">
        <f>""</f>
        <v/>
      </c>
      <c r="W73" t="str">
        <f>"mbeltran@laolaobaygolf.com"</f>
        <v>mbeltran@laolaobaygolf.com</v>
      </c>
      <c r="X73" t="str">
        <f>"Saipan Laulau Development, Inc."</f>
        <v>Saipan Laulau Development, Inc.</v>
      </c>
      <c r="Y73" t="str">
        <f>"Laolao Bay Golf &amp; Resort"</f>
        <v>Laolao Bay Golf &amp; Resort</v>
      </c>
      <c r="Z73" t="str">
        <f>"PMB 1020 PO Box 10000"</f>
        <v>PMB 1020 PO Box 10000</v>
      </c>
      <c r="AA73" t="str">
        <f>"Kagman Rd Rte 34"</f>
        <v>Kagman Rd Rte 34</v>
      </c>
      <c r="AB73" t="str">
        <f>"Saipan"</f>
        <v>Saipan</v>
      </c>
      <c r="AC73" t="str">
        <f t="shared" si="26"/>
        <v>MP</v>
      </c>
      <c r="AD73" t="str">
        <f t="shared" si="29"/>
        <v>96950</v>
      </c>
      <c r="AE73" t="str">
        <f t="shared" si="27"/>
        <v>UNITED STATES OF AMERICA</v>
      </c>
      <c r="AF73" t="str">
        <f>"Kagman III"</f>
        <v>Kagman III</v>
      </c>
      <c r="AG73" s="4" t="str">
        <f>"16702368888"</f>
        <v>16702368888</v>
      </c>
      <c r="AH73" t="str">
        <f>""</f>
        <v/>
      </c>
      <c r="AI73" t="str">
        <f>"713910"</f>
        <v>713910</v>
      </c>
      <c r="AJ73" t="s">
        <v>79</v>
      </c>
      <c r="AK73" t="s">
        <v>79</v>
      </c>
      <c r="AL73" t="s">
        <v>80</v>
      </c>
      <c r="AM73" t="s">
        <v>79</v>
      </c>
      <c r="AP73" t="str">
        <f>"Irrigation Technician"</f>
        <v>Irrigation Technician</v>
      </c>
      <c r="AQ73" t="str">
        <f>"37-3011.00"</f>
        <v>37-3011.00</v>
      </c>
      <c r="AR73" t="str">
        <f>"Landscaping and Groundskeeping Workers"</f>
        <v>Landscaping and Groundskeeping Workers</v>
      </c>
      <c r="AS73" t="str">
        <f>"Golf Course Superintendent"</f>
        <v>Golf Course Superintendent</v>
      </c>
      <c r="AT73" t="s">
        <v>79</v>
      </c>
      <c r="AU73" t="str">
        <f>""</f>
        <v/>
      </c>
      <c r="AV73" t="str">
        <f>""</f>
        <v/>
      </c>
      <c r="AW73" t="s">
        <v>79</v>
      </c>
      <c r="AX73" t="str">
        <f>""</f>
        <v/>
      </c>
      <c r="AY73" t="s">
        <v>84</v>
      </c>
      <c r="BA73" t="s">
        <v>119</v>
      </c>
      <c r="BB73" t="s">
        <v>79</v>
      </c>
      <c r="BD73" t="s">
        <v>79</v>
      </c>
      <c r="BG73" t="s">
        <v>82</v>
      </c>
      <c r="BH73">
        <v>3</v>
      </c>
      <c r="BI73" t="s">
        <v>1491</v>
      </c>
      <c r="BJ73" t="s">
        <v>1492</v>
      </c>
      <c r="BK73" t="str">
        <f>"Kagman Rd Rte 34"</f>
        <v>Kagman Rd Rte 34</v>
      </c>
      <c r="BL73" t="str">
        <f>"PMB 1020 PO Box 1020"</f>
        <v>PMB 1020 PO Box 1020</v>
      </c>
      <c r="BM73" t="str">
        <f>"Saipan"</f>
        <v>Saipan</v>
      </c>
      <c r="BO73" t="s">
        <v>83</v>
      </c>
      <c r="BP73" s="4" t="str">
        <f t="shared" si="30"/>
        <v>96950</v>
      </c>
      <c r="BQ73" t="s">
        <v>79</v>
      </c>
      <c r="BR73" t="str">
        <f>"37-3011.00"</f>
        <v>37-3011.00</v>
      </c>
      <c r="BS73" t="s">
        <v>122</v>
      </c>
      <c r="BT73" s="3">
        <v>8.1300000000000008</v>
      </c>
      <c r="BU73" t="s">
        <v>80</v>
      </c>
      <c r="BV73" t="s">
        <v>90</v>
      </c>
      <c r="BW73" t="s">
        <v>92</v>
      </c>
      <c r="BZ73" s="1">
        <v>45107</v>
      </c>
    </row>
    <row r="74" spans="1:78" ht="15" customHeight="1" x14ac:dyDescent="0.25">
      <c r="A74" t="s">
        <v>1493</v>
      </c>
      <c r="B74" t="s">
        <v>94</v>
      </c>
      <c r="C74" s="1">
        <v>44872</v>
      </c>
      <c r="D74" s="1">
        <v>44914</v>
      </c>
      <c r="H74" t="s">
        <v>78</v>
      </c>
      <c r="I74" t="str">
        <f>"Qian"</f>
        <v>Qian</v>
      </c>
      <c r="J74" t="str">
        <f t="shared" ref="J74:J80" si="31">"Guocao"</f>
        <v>Guocao</v>
      </c>
      <c r="K74" t="str">
        <f>""</f>
        <v/>
      </c>
      <c r="L74" t="str">
        <f t="shared" ref="L74:L80" si="32">"President"</f>
        <v>President</v>
      </c>
      <c r="M74" t="str">
        <f t="shared" ref="M74:M80" si="33">"Bayogo Lane"</f>
        <v>Bayogo Lane</v>
      </c>
      <c r="N74" t="str">
        <f t="shared" ref="N74:N80" si="34">"PMB 1372 Box 10003 Saipan"</f>
        <v>PMB 1372 Box 10003 Saipan</v>
      </c>
      <c r="O74" t="str">
        <f t="shared" ref="O74:O80" si="35">"Gualo Rai"</f>
        <v>Gualo Rai</v>
      </c>
      <c r="P74" t="str">
        <f t="shared" si="24"/>
        <v>MP</v>
      </c>
      <c r="Q74" s="4" t="str">
        <f t="shared" si="28"/>
        <v>96950</v>
      </c>
      <c r="R74" t="str">
        <f t="shared" si="25"/>
        <v>UNITED STATES OF AMERICA</v>
      </c>
      <c r="S74" t="str">
        <f>""</f>
        <v/>
      </c>
      <c r="T74" s="5" t="str">
        <f t="shared" ref="T74:T80" si="36">"16702345828"</f>
        <v>16702345828</v>
      </c>
      <c r="U74" t="str">
        <f>""</f>
        <v/>
      </c>
      <c r="V74" s="5" t="str">
        <f>""</f>
        <v/>
      </c>
      <c r="W74" t="str">
        <f t="shared" ref="W74:W80" si="37">"usafanter.operations@gmail.com"</f>
        <v>usafanter.operations@gmail.com</v>
      </c>
      <c r="X74" t="str">
        <f t="shared" ref="X74:X80" si="38">"USA Fanter Corporation Ltd"</f>
        <v>USA Fanter Corporation Ltd</v>
      </c>
      <c r="Y74" t="str">
        <f>""</f>
        <v/>
      </c>
      <c r="Z74" t="str">
        <f t="shared" ref="Z74:Z80" si="39">"Bayogo Lane"</f>
        <v>Bayogo Lane</v>
      </c>
      <c r="AA74" t="str">
        <f t="shared" ref="AA74:AA80" si="40">"PMB 1372 Box 10003 Saipan"</f>
        <v>PMB 1372 Box 10003 Saipan</v>
      </c>
      <c r="AB74" t="str">
        <f t="shared" ref="AB74:AB80" si="41">"Gualo Rai"</f>
        <v>Gualo Rai</v>
      </c>
      <c r="AC74" t="str">
        <f t="shared" si="26"/>
        <v>MP</v>
      </c>
      <c r="AD74" t="str">
        <f t="shared" si="29"/>
        <v>96950</v>
      </c>
      <c r="AE74" t="str">
        <f t="shared" si="27"/>
        <v>UNITED STATES OF AMERICA</v>
      </c>
      <c r="AF74" t="str">
        <f>""</f>
        <v/>
      </c>
      <c r="AG74" s="4" t="str">
        <f t="shared" ref="AG74:AG80" si="42">"16702345828"</f>
        <v>16702345828</v>
      </c>
      <c r="AH74" t="str">
        <f>""</f>
        <v/>
      </c>
      <c r="AI74" t="str">
        <f>"332322"</f>
        <v>332322</v>
      </c>
      <c r="AJ74" t="s">
        <v>79</v>
      </c>
      <c r="AK74" t="s">
        <v>79</v>
      </c>
      <c r="AL74" t="s">
        <v>80</v>
      </c>
      <c r="AM74" t="s">
        <v>79</v>
      </c>
      <c r="AP74" t="str">
        <f>"Rolling Machine Setter, Operator and Tender"</f>
        <v>Rolling Machine Setter, Operator and Tender</v>
      </c>
      <c r="AQ74" t="str">
        <f>"51-4023.00"</f>
        <v>51-4023.00</v>
      </c>
      <c r="AR74" t="str">
        <f>"Rolling Machine Setters, Operators, and Tenders, Metal and Plastic"</f>
        <v>Rolling Machine Setters, Operators, and Tenders, Metal and Plastic</v>
      </c>
      <c r="AS74" t="str">
        <f t="shared" ref="AS74:AS80" si="43">"President"</f>
        <v>President</v>
      </c>
      <c r="AT74" t="s">
        <v>79</v>
      </c>
      <c r="AU74" t="str">
        <f>""</f>
        <v/>
      </c>
      <c r="AV74" t="str">
        <f>""</f>
        <v/>
      </c>
      <c r="AW74" t="s">
        <v>79</v>
      </c>
      <c r="AX74" t="str">
        <f>""</f>
        <v/>
      </c>
      <c r="AY74" t="s">
        <v>84</v>
      </c>
      <c r="BA74" t="s">
        <v>119</v>
      </c>
      <c r="BB74" t="s">
        <v>79</v>
      </c>
      <c r="BD74" t="s">
        <v>79</v>
      </c>
      <c r="BG74" t="s">
        <v>82</v>
      </c>
      <c r="BH74">
        <v>12</v>
      </c>
      <c r="BI74" t="s">
        <v>1494</v>
      </c>
      <c r="BJ74" t="s">
        <v>161</v>
      </c>
      <c r="BK74" t="str">
        <f t="shared" ref="BK74:BK79" si="44">"Bayogo Lane"</f>
        <v>Bayogo Lane</v>
      </c>
      <c r="BL74" t="str">
        <f t="shared" ref="BL74:BL80" si="45">"PMB 1372 Box 10003 Saipan"</f>
        <v>PMB 1372 Box 10003 Saipan</v>
      </c>
      <c r="BM74" t="str">
        <f t="shared" ref="BM74:BM80" si="46">"Gualo Rai"</f>
        <v>Gualo Rai</v>
      </c>
      <c r="BO74" t="s">
        <v>83</v>
      </c>
      <c r="BP74" s="4" t="str">
        <f t="shared" si="30"/>
        <v>96950</v>
      </c>
      <c r="BQ74" t="s">
        <v>79</v>
      </c>
      <c r="BR74" t="str">
        <f>"51-4023.00"</f>
        <v>51-4023.00</v>
      </c>
      <c r="BS74" t="s">
        <v>1495</v>
      </c>
      <c r="BT74" s="3">
        <v>15.11</v>
      </c>
      <c r="BU74" t="s">
        <v>80</v>
      </c>
      <c r="BV74" t="s">
        <v>90</v>
      </c>
      <c r="BW74" t="s">
        <v>265</v>
      </c>
      <c r="BZ74" s="1">
        <v>45107</v>
      </c>
    </row>
    <row r="75" spans="1:78" ht="15" customHeight="1" x14ac:dyDescent="0.25">
      <c r="A75" t="s">
        <v>1496</v>
      </c>
      <c r="B75" t="s">
        <v>94</v>
      </c>
      <c r="C75" s="1">
        <v>44872</v>
      </c>
      <c r="D75" s="1">
        <v>44914</v>
      </c>
      <c r="H75" t="s">
        <v>78</v>
      </c>
      <c r="I75" t="str">
        <f>"Qian"</f>
        <v>Qian</v>
      </c>
      <c r="J75" t="str">
        <f t="shared" si="31"/>
        <v>Guocao</v>
      </c>
      <c r="K75" t="str">
        <f>""</f>
        <v/>
      </c>
      <c r="L75" t="str">
        <f t="shared" si="32"/>
        <v>President</v>
      </c>
      <c r="M75" t="str">
        <f t="shared" si="33"/>
        <v>Bayogo Lane</v>
      </c>
      <c r="N75" t="str">
        <f t="shared" si="34"/>
        <v>PMB 1372 Box 10003 Saipan</v>
      </c>
      <c r="O75" t="str">
        <f t="shared" si="35"/>
        <v>Gualo Rai</v>
      </c>
      <c r="P75" t="str">
        <f t="shared" si="24"/>
        <v>MP</v>
      </c>
      <c r="Q75" s="4" t="str">
        <f t="shared" si="28"/>
        <v>96950</v>
      </c>
      <c r="R75" t="str">
        <f t="shared" si="25"/>
        <v>UNITED STATES OF AMERICA</v>
      </c>
      <c r="S75" t="str">
        <f>""</f>
        <v/>
      </c>
      <c r="T75" s="5" t="str">
        <f t="shared" si="36"/>
        <v>16702345828</v>
      </c>
      <c r="U75" t="str">
        <f>""</f>
        <v/>
      </c>
      <c r="V75" s="5" t="str">
        <f>""</f>
        <v/>
      </c>
      <c r="W75" t="str">
        <f t="shared" si="37"/>
        <v>usafanter.operations@gmail.com</v>
      </c>
      <c r="X75" t="str">
        <f t="shared" si="38"/>
        <v>USA Fanter Corporation Ltd</v>
      </c>
      <c r="Y75" t="str">
        <f>""</f>
        <v/>
      </c>
      <c r="Z75" t="str">
        <f t="shared" si="39"/>
        <v>Bayogo Lane</v>
      </c>
      <c r="AA75" t="str">
        <f t="shared" si="40"/>
        <v>PMB 1372 Box 10003 Saipan</v>
      </c>
      <c r="AB75" t="str">
        <f t="shared" si="41"/>
        <v>Gualo Rai</v>
      </c>
      <c r="AC75" t="str">
        <f t="shared" si="26"/>
        <v>MP</v>
      </c>
      <c r="AD75" t="str">
        <f t="shared" si="29"/>
        <v>96950</v>
      </c>
      <c r="AE75" t="str">
        <f t="shared" si="27"/>
        <v>UNITED STATES OF AMERICA</v>
      </c>
      <c r="AF75" t="str">
        <f>""</f>
        <v/>
      </c>
      <c r="AG75" s="4" t="str">
        <f t="shared" si="42"/>
        <v>16702345828</v>
      </c>
      <c r="AH75" t="str">
        <f>""</f>
        <v/>
      </c>
      <c r="AI75" t="str">
        <f>"2362"</f>
        <v>2362</v>
      </c>
      <c r="AJ75" t="s">
        <v>79</v>
      </c>
      <c r="AK75" t="s">
        <v>79</v>
      </c>
      <c r="AL75" t="s">
        <v>80</v>
      </c>
      <c r="AM75" t="s">
        <v>79</v>
      </c>
      <c r="AP75" t="str">
        <f>"Operating Engineers &amp; Other Construction Equipment Operators"</f>
        <v>Operating Engineers &amp; Other Construction Equipment Operators</v>
      </c>
      <c r="AQ75" t="str">
        <f>"47-2073.00"</f>
        <v>47-2073.00</v>
      </c>
      <c r="AR75" t="str">
        <f>"Operating Engineers and Other Construction Equipment Operators"</f>
        <v>Operating Engineers and Other Construction Equipment Operators</v>
      </c>
      <c r="AS75" t="str">
        <f t="shared" si="43"/>
        <v>President</v>
      </c>
      <c r="AT75" t="s">
        <v>79</v>
      </c>
      <c r="AU75" t="str">
        <f>""</f>
        <v/>
      </c>
      <c r="AV75" t="str">
        <f>""</f>
        <v/>
      </c>
      <c r="AW75" t="s">
        <v>79</v>
      </c>
      <c r="AX75" t="str">
        <f>""</f>
        <v/>
      </c>
      <c r="AY75" t="s">
        <v>84</v>
      </c>
      <c r="BA75" t="s">
        <v>119</v>
      </c>
      <c r="BB75" t="s">
        <v>79</v>
      </c>
      <c r="BD75" t="s">
        <v>79</v>
      </c>
      <c r="BG75" t="s">
        <v>82</v>
      </c>
      <c r="BH75">
        <v>12</v>
      </c>
      <c r="BI75" t="s">
        <v>1497</v>
      </c>
      <c r="BJ75" t="s">
        <v>161</v>
      </c>
      <c r="BK75" t="str">
        <f t="shared" si="44"/>
        <v>Bayogo Lane</v>
      </c>
      <c r="BL75" t="str">
        <f t="shared" si="45"/>
        <v>PMB 1372 Box 10003 Saipan</v>
      </c>
      <c r="BM75" t="str">
        <f t="shared" si="46"/>
        <v>Gualo Rai</v>
      </c>
      <c r="BO75" t="s">
        <v>83</v>
      </c>
      <c r="BP75" s="4" t="str">
        <f t="shared" si="30"/>
        <v>96950</v>
      </c>
      <c r="BQ75" t="s">
        <v>79</v>
      </c>
      <c r="BR75" t="str">
        <f>"47-2073.00"</f>
        <v>47-2073.00</v>
      </c>
      <c r="BS75" t="s">
        <v>609</v>
      </c>
      <c r="BT75" s="3">
        <v>10.23</v>
      </c>
      <c r="BU75" t="s">
        <v>80</v>
      </c>
      <c r="BV75" t="s">
        <v>90</v>
      </c>
      <c r="BW75" t="s">
        <v>92</v>
      </c>
      <c r="BZ75" s="1">
        <v>45107</v>
      </c>
    </row>
    <row r="76" spans="1:78" ht="15" customHeight="1" x14ac:dyDescent="0.25">
      <c r="A76" t="s">
        <v>1498</v>
      </c>
      <c r="B76" t="s">
        <v>94</v>
      </c>
      <c r="C76" s="1">
        <v>44872</v>
      </c>
      <c r="D76" s="1">
        <v>44914</v>
      </c>
      <c r="H76" t="s">
        <v>78</v>
      </c>
      <c r="I76" t="str">
        <f>"Qian"</f>
        <v>Qian</v>
      </c>
      <c r="J76" t="str">
        <f t="shared" si="31"/>
        <v>Guocao</v>
      </c>
      <c r="K76" t="str">
        <f>""</f>
        <v/>
      </c>
      <c r="L76" t="str">
        <f t="shared" si="32"/>
        <v>President</v>
      </c>
      <c r="M76" t="str">
        <f t="shared" si="33"/>
        <v>Bayogo Lane</v>
      </c>
      <c r="N76" t="str">
        <f t="shared" si="34"/>
        <v>PMB 1372 Box 10003 Saipan</v>
      </c>
      <c r="O76" t="str">
        <f t="shared" si="35"/>
        <v>Gualo Rai</v>
      </c>
      <c r="P76" t="str">
        <f t="shared" si="24"/>
        <v>MP</v>
      </c>
      <c r="Q76" s="4" t="str">
        <f t="shared" si="28"/>
        <v>96950</v>
      </c>
      <c r="R76" t="str">
        <f t="shared" si="25"/>
        <v>UNITED STATES OF AMERICA</v>
      </c>
      <c r="S76" t="str">
        <f>""</f>
        <v/>
      </c>
      <c r="T76" s="5" t="str">
        <f t="shared" si="36"/>
        <v>16702345828</v>
      </c>
      <c r="U76" t="str">
        <f>""</f>
        <v/>
      </c>
      <c r="V76" s="5" t="str">
        <f>""</f>
        <v/>
      </c>
      <c r="W76" t="str">
        <f t="shared" si="37"/>
        <v>usafanter.operations@gmail.com</v>
      </c>
      <c r="X76" t="str">
        <f t="shared" si="38"/>
        <v>USA Fanter Corporation Ltd</v>
      </c>
      <c r="Y76" t="str">
        <f>""</f>
        <v/>
      </c>
      <c r="Z76" t="str">
        <f t="shared" si="39"/>
        <v>Bayogo Lane</v>
      </c>
      <c r="AA76" t="str">
        <f t="shared" si="40"/>
        <v>PMB 1372 Box 10003 Saipan</v>
      </c>
      <c r="AB76" t="str">
        <f t="shared" si="41"/>
        <v>Gualo Rai</v>
      </c>
      <c r="AC76" t="str">
        <f t="shared" si="26"/>
        <v>MP</v>
      </c>
      <c r="AD76" t="str">
        <f t="shared" si="29"/>
        <v>96950</v>
      </c>
      <c r="AE76" t="str">
        <f t="shared" si="27"/>
        <v>UNITED STATES OF AMERICA</v>
      </c>
      <c r="AF76" t="str">
        <f>""</f>
        <v/>
      </c>
      <c r="AG76" s="4" t="str">
        <f t="shared" si="42"/>
        <v>16702345828</v>
      </c>
      <c r="AH76" t="str">
        <f>""</f>
        <v/>
      </c>
      <c r="AI76" t="str">
        <f>"3273"</f>
        <v>3273</v>
      </c>
      <c r="AJ76" t="s">
        <v>79</v>
      </c>
      <c r="AK76" t="s">
        <v>79</v>
      </c>
      <c r="AL76" t="s">
        <v>80</v>
      </c>
      <c r="AM76" t="s">
        <v>79</v>
      </c>
      <c r="AP76" t="str">
        <f>"Molding and Casting Worker"</f>
        <v>Molding and Casting Worker</v>
      </c>
      <c r="AQ76" t="str">
        <f>"51-9195.00"</f>
        <v>51-9195.00</v>
      </c>
      <c r="AR76" t="str">
        <f>"Molders, Shapers, and Casters, Except Metal and Plastic"</f>
        <v>Molders, Shapers, and Casters, Except Metal and Plastic</v>
      </c>
      <c r="AS76" t="str">
        <f t="shared" si="43"/>
        <v>President</v>
      </c>
      <c r="AT76" t="s">
        <v>79</v>
      </c>
      <c r="AU76" t="str">
        <f>""</f>
        <v/>
      </c>
      <c r="AV76" t="str">
        <f>""</f>
        <v/>
      </c>
      <c r="AW76" t="s">
        <v>79</v>
      </c>
      <c r="AX76" t="str">
        <f>""</f>
        <v/>
      </c>
      <c r="AY76" t="s">
        <v>81</v>
      </c>
      <c r="BA76" t="s">
        <v>119</v>
      </c>
      <c r="BB76" t="s">
        <v>79</v>
      </c>
      <c r="BD76" t="s">
        <v>79</v>
      </c>
      <c r="BG76" t="s">
        <v>82</v>
      </c>
      <c r="BH76">
        <v>12</v>
      </c>
      <c r="BI76" t="s">
        <v>1499</v>
      </c>
      <c r="BJ76" t="s">
        <v>161</v>
      </c>
      <c r="BK76" t="str">
        <f t="shared" si="44"/>
        <v>Bayogo Lane</v>
      </c>
      <c r="BL76" t="str">
        <f t="shared" si="45"/>
        <v>PMB 1372 Box 10003 Saipan</v>
      </c>
      <c r="BM76" t="str">
        <f t="shared" si="46"/>
        <v>Gualo Rai</v>
      </c>
      <c r="BO76" t="s">
        <v>83</v>
      </c>
      <c r="BP76" s="4" t="str">
        <f t="shared" si="30"/>
        <v>96950</v>
      </c>
      <c r="BQ76" t="s">
        <v>79</v>
      </c>
      <c r="BR76" t="str">
        <f>"51-9195.00"</f>
        <v>51-9195.00</v>
      </c>
      <c r="BS76" t="s">
        <v>1500</v>
      </c>
      <c r="BT76" s="3">
        <v>10.45</v>
      </c>
      <c r="BU76" t="s">
        <v>80</v>
      </c>
      <c r="BV76" t="s">
        <v>90</v>
      </c>
      <c r="BW76" t="s">
        <v>92</v>
      </c>
      <c r="BZ76" s="1">
        <v>45107</v>
      </c>
    </row>
    <row r="77" spans="1:78" ht="15" customHeight="1" x14ac:dyDescent="0.25">
      <c r="A77" t="s">
        <v>1501</v>
      </c>
      <c r="B77" t="s">
        <v>94</v>
      </c>
      <c r="C77" s="1">
        <v>44872</v>
      </c>
      <c r="D77" s="1">
        <v>44914</v>
      </c>
      <c r="H77" t="s">
        <v>78</v>
      </c>
      <c r="I77" t="str">
        <f>"Qian "</f>
        <v xml:space="preserve">Qian </v>
      </c>
      <c r="J77" t="str">
        <f t="shared" si="31"/>
        <v>Guocao</v>
      </c>
      <c r="K77" t="str">
        <f>""</f>
        <v/>
      </c>
      <c r="L77" t="str">
        <f t="shared" si="32"/>
        <v>President</v>
      </c>
      <c r="M77" t="str">
        <f t="shared" si="33"/>
        <v>Bayogo Lane</v>
      </c>
      <c r="N77" t="str">
        <f t="shared" si="34"/>
        <v>PMB 1372 Box 10003 Saipan</v>
      </c>
      <c r="O77" t="str">
        <f t="shared" si="35"/>
        <v>Gualo Rai</v>
      </c>
      <c r="P77" t="str">
        <f t="shared" si="24"/>
        <v>MP</v>
      </c>
      <c r="Q77" s="4" t="str">
        <f t="shared" si="28"/>
        <v>96950</v>
      </c>
      <c r="R77" t="str">
        <f t="shared" si="25"/>
        <v>UNITED STATES OF AMERICA</v>
      </c>
      <c r="S77" t="str">
        <f>""</f>
        <v/>
      </c>
      <c r="T77" s="5" t="str">
        <f t="shared" si="36"/>
        <v>16702345828</v>
      </c>
      <c r="U77" t="str">
        <f>""</f>
        <v/>
      </c>
      <c r="V77" s="5" t="str">
        <f>""</f>
        <v/>
      </c>
      <c r="W77" t="str">
        <f t="shared" si="37"/>
        <v>usafanter.operations@gmail.com</v>
      </c>
      <c r="X77" t="str">
        <f t="shared" si="38"/>
        <v>USA Fanter Corporation Ltd</v>
      </c>
      <c r="Y77" t="str">
        <f>""</f>
        <v/>
      </c>
      <c r="Z77" t="str">
        <f t="shared" si="39"/>
        <v>Bayogo Lane</v>
      </c>
      <c r="AA77" t="str">
        <f t="shared" si="40"/>
        <v>PMB 1372 Box 10003 Saipan</v>
      </c>
      <c r="AB77" t="str">
        <f t="shared" si="41"/>
        <v>Gualo Rai</v>
      </c>
      <c r="AC77" t="str">
        <f t="shared" si="26"/>
        <v>MP</v>
      </c>
      <c r="AD77" t="str">
        <f t="shared" si="29"/>
        <v>96950</v>
      </c>
      <c r="AE77" t="str">
        <f t="shared" si="27"/>
        <v>UNITED STATES OF AMERICA</v>
      </c>
      <c r="AF77" t="str">
        <f>""</f>
        <v/>
      </c>
      <c r="AG77" s="4" t="str">
        <f t="shared" si="42"/>
        <v>16702345828</v>
      </c>
      <c r="AH77" t="str">
        <f>""</f>
        <v/>
      </c>
      <c r="AI77" t="str">
        <f>"2362"</f>
        <v>2362</v>
      </c>
      <c r="AJ77" t="s">
        <v>79</v>
      </c>
      <c r="AK77" t="s">
        <v>79</v>
      </c>
      <c r="AL77" t="s">
        <v>80</v>
      </c>
      <c r="AM77" t="s">
        <v>79</v>
      </c>
      <c r="AP77" t="str">
        <f>"Mason"</f>
        <v>Mason</v>
      </c>
      <c r="AQ77" t="str">
        <f>"47-2051.00"</f>
        <v>47-2051.00</v>
      </c>
      <c r="AR77" t="str">
        <f>"Cement Masons and Concrete Finishers"</f>
        <v>Cement Masons and Concrete Finishers</v>
      </c>
      <c r="AS77" t="str">
        <f t="shared" si="43"/>
        <v>President</v>
      </c>
      <c r="AT77" t="s">
        <v>79</v>
      </c>
      <c r="AU77" t="str">
        <f>""</f>
        <v/>
      </c>
      <c r="AV77" t="str">
        <f>""</f>
        <v/>
      </c>
      <c r="AW77" t="s">
        <v>79</v>
      </c>
      <c r="AX77" t="str">
        <f>""</f>
        <v/>
      </c>
      <c r="AY77" t="s">
        <v>81</v>
      </c>
      <c r="BA77" t="s">
        <v>119</v>
      </c>
      <c r="BB77" t="s">
        <v>79</v>
      </c>
      <c r="BD77" t="s">
        <v>79</v>
      </c>
      <c r="BG77" t="s">
        <v>82</v>
      </c>
      <c r="BH77">
        <v>3</v>
      </c>
      <c r="BI77" t="s">
        <v>1502</v>
      </c>
      <c r="BJ77" t="s">
        <v>161</v>
      </c>
      <c r="BK77" t="str">
        <f t="shared" si="44"/>
        <v>Bayogo Lane</v>
      </c>
      <c r="BL77" t="str">
        <f t="shared" si="45"/>
        <v>PMB 1372 Box 10003 Saipan</v>
      </c>
      <c r="BM77" t="str">
        <f t="shared" si="46"/>
        <v>Gualo Rai</v>
      </c>
      <c r="BO77" t="s">
        <v>83</v>
      </c>
      <c r="BP77" s="4" t="str">
        <f t="shared" si="30"/>
        <v>96950</v>
      </c>
      <c r="BQ77" t="s">
        <v>79</v>
      </c>
      <c r="BR77" t="str">
        <f>"47-2051.00"</f>
        <v>47-2051.00</v>
      </c>
      <c r="BS77" t="s">
        <v>113</v>
      </c>
      <c r="BT77" s="3">
        <v>8.5500000000000007</v>
      </c>
      <c r="BU77" t="s">
        <v>80</v>
      </c>
      <c r="BV77" t="s">
        <v>90</v>
      </c>
      <c r="BW77" t="s">
        <v>92</v>
      </c>
      <c r="BZ77" s="1">
        <v>45107</v>
      </c>
    </row>
    <row r="78" spans="1:78" ht="15" customHeight="1" x14ac:dyDescent="0.25">
      <c r="A78" t="s">
        <v>1503</v>
      </c>
      <c r="B78" t="s">
        <v>94</v>
      </c>
      <c r="C78" s="1">
        <v>44872</v>
      </c>
      <c r="D78" s="1">
        <v>44914</v>
      </c>
      <c r="H78" t="s">
        <v>78</v>
      </c>
      <c r="I78" t="str">
        <f>"Qian"</f>
        <v>Qian</v>
      </c>
      <c r="J78" t="str">
        <f t="shared" si="31"/>
        <v>Guocao</v>
      </c>
      <c r="K78" t="str">
        <f>""</f>
        <v/>
      </c>
      <c r="L78" t="str">
        <f t="shared" si="32"/>
        <v>President</v>
      </c>
      <c r="M78" t="str">
        <f t="shared" si="33"/>
        <v>Bayogo Lane</v>
      </c>
      <c r="N78" t="str">
        <f t="shared" si="34"/>
        <v>PMB 1372 Box 10003 Saipan</v>
      </c>
      <c r="O78" t="str">
        <f t="shared" si="35"/>
        <v>Gualo Rai</v>
      </c>
      <c r="P78" t="str">
        <f t="shared" si="24"/>
        <v>MP</v>
      </c>
      <c r="Q78" s="4" t="str">
        <f t="shared" si="28"/>
        <v>96950</v>
      </c>
      <c r="R78" t="str">
        <f t="shared" si="25"/>
        <v>UNITED STATES OF AMERICA</v>
      </c>
      <c r="S78" t="str">
        <f>""</f>
        <v/>
      </c>
      <c r="T78" s="5" t="str">
        <f t="shared" si="36"/>
        <v>16702345828</v>
      </c>
      <c r="U78" t="str">
        <f>""</f>
        <v/>
      </c>
      <c r="V78" s="5" t="str">
        <f>""</f>
        <v/>
      </c>
      <c r="W78" t="str">
        <f t="shared" si="37"/>
        <v>usafanter.operations@gmail.com</v>
      </c>
      <c r="X78" t="str">
        <f t="shared" si="38"/>
        <v>USA Fanter Corporation Ltd</v>
      </c>
      <c r="Y78" t="str">
        <f>""</f>
        <v/>
      </c>
      <c r="Z78" t="str">
        <f t="shared" si="39"/>
        <v>Bayogo Lane</v>
      </c>
      <c r="AA78" t="str">
        <f t="shared" si="40"/>
        <v>PMB 1372 Box 10003 Saipan</v>
      </c>
      <c r="AB78" t="str">
        <f t="shared" si="41"/>
        <v>Gualo Rai</v>
      </c>
      <c r="AC78" t="str">
        <f t="shared" si="26"/>
        <v>MP</v>
      </c>
      <c r="AD78" t="str">
        <f t="shared" si="29"/>
        <v>96950</v>
      </c>
      <c r="AE78" t="str">
        <f t="shared" si="27"/>
        <v>UNITED STATES OF AMERICA</v>
      </c>
      <c r="AF78" t="str">
        <f>""</f>
        <v/>
      </c>
      <c r="AG78" s="4" t="str">
        <f t="shared" si="42"/>
        <v>16702345828</v>
      </c>
      <c r="AH78" t="str">
        <f>""</f>
        <v/>
      </c>
      <c r="AI78" t="str">
        <f>"2362"</f>
        <v>2362</v>
      </c>
      <c r="AJ78" t="s">
        <v>79</v>
      </c>
      <c r="AK78" t="s">
        <v>79</v>
      </c>
      <c r="AL78" t="s">
        <v>80</v>
      </c>
      <c r="AM78" t="s">
        <v>79</v>
      </c>
      <c r="AP78" t="str">
        <f>"Maintenance and Repair Worker"</f>
        <v>Maintenance and Repair Worker</v>
      </c>
      <c r="AQ78" t="str">
        <f>"49-9071.00"</f>
        <v>49-9071.00</v>
      </c>
      <c r="AR78" t="str">
        <f>"Maintenance and Repair Workers, General"</f>
        <v>Maintenance and Repair Workers, General</v>
      </c>
      <c r="AS78" t="str">
        <f t="shared" si="43"/>
        <v>President</v>
      </c>
      <c r="AT78" t="s">
        <v>79</v>
      </c>
      <c r="AU78" t="str">
        <f>""</f>
        <v/>
      </c>
      <c r="AV78" t="str">
        <f>""</f>
        <v/>
      </c>
      <c r="AW78" t="s">
        <v>79</v>
      </c>
      <c r="AX78" t="str">
        <f>""</f>
        <v/>
      </c>
      <c r="AY78" t="s">
        <v>84</v>
      </c>
      <c r="BA78" t="s">
        <v>119</v>
      </c>
      <c r="BB78" t="s">
        <v>79</v>
      </c>
      <c r="BD78" t="s">
        <v>79</v>
      </c>
      <c r="BG78" t="s">
        <v>82</v>
      </c>
      <c r="BH78">
        <v>24</v>
      </c>
      <c r="BI78" t="s">
        <v>1504</v>
      </c>
      <c r="BJ78" t="s">
        <v>161</v>
      </c>
      <c r="BK78" t="str">
        <f t="shared" si="44"/>
        <v>Bayogo Lane</v>
      </c>
      <c r="BL78" t="str">
        <f t="shared" si="45"/>
        <v>PMB 1372 Box 10003 Saipan</v>
      </c>
      <c r="BM78" t="str">
        <f t="shared" si="46"/>
        <v>Gualo Rai</v>
      </c>
      <c r="BO78" t="s">
        <v>83</v>
      </c>
      <c r="BP78" s="4" t="str">
        <f t="shared" si="30"/>
        <v>96950</v>
      </c>
      <c r="BQ78" t="s">
        <v>79</v>
      </c>
      <c r="BR78" t="str">
        <f>"49-9071.00"</f>
        <v>49-9071.00</v>
      </c>
      <c r="BS78" t="s">
        <v>146</v>
      </c>
      <c r="BT78" s="3">
        <v>9.19</v>
      </c>
      <c r="BU78" t="s">
        <v>80</v>
      </c>
      <c r="BV78" t="s">
        <v>90</v>
      </c>
      <c r="BW78" t="s">
        <v>92</v>
      </c>
      <c r="BZ78" s="1">
        <v>45107</v>
      </c>
    </row>
    <row r="79" spans="1:78" ht="15" customHeight="1" x14ac:dyDescent="0.25">
      <c r="A79" t="s">
        <v>1505</v>
      </c>
      <c r="B79" t="s">
        <v>94</v>
      </c>
      <c r="C79" s="1">
        <v>44872</v>
      </c>
      <c r="D79" s="1">
        <v>44914</v>
      </c>
      <c r="H79" t="s">
        <v>78</v>
      </c>
      <c r="I79" t="str">
        <f>"Qian"</f>
        <v>Qian</v>
      </c>
      <c r="J79" t="str">
        <f t="shared" si="31"/>
        <v>Guocao</v>
      </c>
      <c r="K79" t="str">
        <f>""</f>
        <v/>
      </c>
      <c r="L79" t="str">
        <f t="shared" si="32"/>
        <v>President</v>
      </c>
      <c r="M79" t="str">
        <f t="shared" si="33"/>
        <v>Bayogo Lane</v>
      </c>
      <c r="N79" t="str">
        <f t="shared" si="34"/>
        <v>PMB 1372 Box 10003 Saipan</v>
      </c>
      <c r="O79" t="str">
        <f t="shared" si="35"/>
        <v>Gualo Rai</v>
      </c>
      <c r="P79" t="str">
        <f t="shared" si="24"/>
        <v>MP</v>
      </c>
      <c r="Q79" s="4" t="str">
        <f t="shared" si="28"/>
        <v>96950</v>
      </c>
      <c r="R79" t="str">
        <f t="shared" si="25"/>
        <v>UNITED STATES OF AMERICA</v>
      </c>
      <c r="S79" t="str">
        <f>""</f>
        <v/>
      </c>
      <c r="T79" s="5" t="str">
        <f t="shared" si="36"/>
        <v>16702345828</v>
      </c>
      <c r="U79" t="str">
        <f>""</f>
        <v/>
      </c>
      <c r="V79" s="5" t="str">
        <f>""</f>
        <v/>
      </c>
      <c r="W79" t="str">
        <f t="shared" si="37"/>
        <v>usafanter.operations@gmail.com</v>
      </c>
      <c r="X79" t="str">
        <f t="shared" si="38"/>
        <v>USA Fanter Corporation Ltd</v>
      </c>
      <c r="Y79" t="str">
        <f>""</f>
        <v/>
      </c>
      <c r="Z79" t="str">
        <f t="shared" si="39"/>
        <v>Bayogo Lane</v>
      </c>
      <c r="AA79" t="str">
        <f t="shared" si="40"/>
        <v>PMB 1372 Box 10003 Saipan</v>
      </c>
      <c r="AB79" t="str">
        <f t="shared" si="41"/>
        <v>Gualo Rai</v>
      </c>
      <c r="AC79" t="str">
        <f t="shared" si="26"/>
        <v>MP</v>
      </c>
      <c r="AD79" t="str">
        <f t="shared" si="29"/>
        <v>96950</v>
      </c>
      <c r="AE79" t="str">
        <f t="shared" si="27"/>
        <v>UNITED STATES OF AMERICA</v>
      </c>
      <c r="AF79" t="str">
        <f>""</f>
        <v/>
      </c>
      <c r="AG79" s="4" t="str">
        <f t="shared" si="42"/>
        <v>16702345828</v>
      </c>
      <c r="AH79" t="str">
        <f>""</f>
        <v/>
      </c>
      <c r="AI79" t="str">
        <f>"332322"</f>
        <v>332322</v>
      </c>
      <c r="AJ79" t="s">
        <v>79</v>
      </c>
      <c r="AK79" t="s">
        <v>79</v>
      </c>
      <c r="AL79" t="s">
        <v>80</v>
      </c>
      <c r="AM79" t="s">
        <v>79</v>
      </c>
      <c r="AP79" t="str">
        <f>"Machine Feeders"</f>
        <v>Machine Feeders</v>
      </c>
      <c r="AQ79" t="str">
        <f>"53-7063.00"</f>
        <v>53-7063.00</v>
      </c>
      <c r="AR79" t="str">
        <f>"Machine Feeders and Offbearers"</f>
        <v>Machine Feeders and Offbearers</v>
      </c>
      <c r="AS79" t="str">
        <f t="shared" si="43"/>
        <v>President</v>
      </c>
      <c r="AT79" t="s">
        <v>79</v>
      </c>
      <c r="AU79" t="str">
        <f>""</f>
        <v/>
      </c>
      <c r="AV79" t="str">
        <f>""</f>
        <v/>
      </c>
      <c r="AW79" t="s">
        <v>79</v>
      </c>
      <c r="AX79" t="str">
        <f>""</f>
        <v/>
      </c>
      <c r="AY79" t="s">
        <v>84</v>
      </c>
      <c r="BA79" t="s">
        <v>119</v>
      </c>
      <c r="BB79" t="s">
        <v>79</v>
      </c>
      <c r="BD79" t="s">
        <v>79</v>
      </c>
      <c r="BG79" t="s">
        <v>82</v>
      </c>
      <c r="BH79">
        <v>12</v>
      </c>
      <c r="BI79" t="s">
        <v>1506</v>
      </c>
      <c r="BJ79" t="s">
        <v>161</v>
      </c>
      <c r="BK79" t="str">
        <f t="shared" si="44"/>
        <v>Bayogo Lane</v>
      </c>
      <c r="BL79" t="str">
        <f t="shared" si="45"/>
        <v>PMB 1372 Box 10003 Saipan</v>
      </c>
      <c r="BM79" t="str">
        <f t="shared" si="46"/>
        <v>Gualo Rai</v>
      </c>
      <c r="BO79" t="s">
        <v>83</v>
      </c>
      <c r="BP79" s="4" t="str">
        <f t="shared" si="30"/>
        <v>96950</v>
      </c>
      <c r="BQ79" t="s">
        <v>79</v>
      </c>
      <c r="BR79" t="str">
        <f>"53-7063.00"</f>
        <v>53-7063.00</v>
      </c>
      <c r="BS79" t="s">
        <v>1507</v>
      </c>
      <c r="BT79" s="3">
        <v>8.01</v>
      </c>
      <c r="BU79" t="s">
        <v>80</v>
      </c>
      <c r="BV79" t="s">
        <v>90</v>
      </c>
      <c r="BW79" t="s">
        <v>92</v>
      </c>
      <c r="BZ79" s="1">
        <v>45107</v>
      </c>
    </row>
    <row r="80" spans="1:78" ht="15" customHeight="1" x14ac:dyDescent="0.25">
      <c r="A80" t="s">
        <v>1508</v>
      </c>
      <c r="B80" t="s">
        <v>94</v>
      </c>
      <c r="C80" s="1">
        <v>44872</v>
      </c>
      <c r="D80" s="1">
        <v>44914</v>
      </c>
      <c r="H80" t="s">
        <v>78</v>
      </c>
      <c r="I80" t="str">
        <f>"Qian"</f>
        <v>Qian</v>
      </c>
      <c r="J80" t="str">
        <f t="shared" si="31"/>
        <v>Guocao</v>
      </c>
      <c r="K80" t="str">
        <f>""</f>
        <v/>
      </c>
      <c r="L80" t="str">
        <f t="shared" si="32"/>
        <v>President</v>
      </c>
      <c r="M80" t="str">
        <f t="shared" si="33"/>
        <v>Bayogo Lane</v>
      </c>
      <c r="N80" t="str">
        <f t="shared" si="34"/>
        <v>PMB 1372 Box 10003 Saipan</v>
      </c>
      <c r="O80" t="str">
        <f t="shared" si="35"/>
        <v>Gualo Rai</v>
      </c>
      <c r="P80" t="str">
        <f t="shared" si="24"/>
        <v>MP</v>
      </c>
      <c r="Q80" s="4" t="str">
        <f t="shared" si="28"/>
        <v>96950</v>
      </c>
      <c r="R80" t="str">
        <f t="shared" si="25"/>
        <v>UNITED STATES OF AMERICA</v>
      </c>
      <c r="S80" t="str">
        <f>""</f>
        <v/>
      </c>
      <c r="T80" s="5" t="str">
        <f t="shared" si="36"/>
        <v>16702345828</v>
      </c>
      <c r="U80" t="str">
        <f>""</f>
        <v/>
      </c>
      <c r="V80" s="5" t="str">
        <f>""</f>
        <v/>
      </c>
      <c r="W80" t="str">
        <f t="shared" si="37"/>
        <v>usafanter.operations@gmail.com</v>
      </c>
      <c r="X80" t="str">
        <f t="shared" si="38"/>
        <v>USA Fanter Corporation Ltd</v>
      </c>
      <c r="Y80" t="str">
        <f>""</f>
        <v/>
      </c>
      <c r="Z80" t="str">
        <f t="shared" si="39"/>
        <v>Bayogo Lane</v>
      </c>
      <c r="AA80" t="str">
        <f t="shared" si="40"/>
        <v>PMB 1372 Box 10003 Saipan</v>
      </c>
      <c r="AB80" t="str">
        <f t="shared" si="41"/>
        <v>Gualo Rai</v>
      </c>
      <c r="AC80" t="str">
        <f t="shared" si="26"/>
        <v>MP</v>
      </c>
      <c r="AD80" t="str">
        <f t="shared" si="29"/>
        <v>96950</v>
      </c>
      <c r="AE80" t="str">
        <f t="shared" si="27"/>
        <v>UNITED STATES OF AMERICA</v>
      </c>
      <c r="AF80" t="str">
        <f>""</f>
        <v/>
      </c>
      <c r="AG80" s="4" t="str">
        <f t="shared" si="42"/>
        <v>16702345828</v>
      </c>
      <c r="AH80" t="str">
        <f>""</f>
        <v/>
      </c>
      <c r="AI80" t="str">
        <f>"56173"</f>
        <v>56173</v>
      </c>
      <c r="AJ80" t="s">
        <v>79</v>
      </c>
      <c r="AK80" t="s">
        <v>79</v>
      </c>
      <c r="AL80" t="s">
        <v>80</v>
      </c>
      <c r="AM80" t="s">
        <v>79</v>
      </c>
      <c r="AP80" t="str">
        <f>"Landscaping and Groundskeeping Worker"</f>
        <v>Landscaping and Groundskeeping Worker</v>
      </c>
      <c r="AQ80" t="str">
        <f>"37-3011.00"</f>
        <v>37-3011.00</v>
      </c>
      <c r="AR80" t="str">
        <f>"Landscaping and Groundskeeping Workers"</f>
        <v>Landscaping and Groundskeeping Workers</v>
      </c>
      <c r="AS80" t="str">
        <f t="shared" si="43"/>
        <v>President</v>
      </c>
      <c r="AT80" t="s">
        <v>79</v>
      </c>
      <c r="AU80" t="str">
        <f>""</f>
        <v/>
      </c>
      <c r="AV80" t="str">
        <f>""</f>
        <v/>
      </c>
      <c r="AW80" t="s">
        <v>79</v>
      </c>
      <c r="AX80" t="str">
        <f>""</f>
        <v/>
      </c>
      <c r="AY80" t="s">
        <v>81</v>
      </c>
      <c r="BA80" t="s">
        <v>119</v>
      </c>
      <c r="BB80" t="s">
        <v>79</v>
      </c>
      <c r="BD80" t="s">
        <v>79</v>
      </c>
      <c r="BG80" t="s">
        <v>82</v>
      </c>
      <c r="BH80">
        <v>3</v>
      </c>
      <c r="BI80" t="s">
        <v>1509</v>
      </c>
      <c r="BJ80" t="s">
        <v>161</v>
      </c>
      <c r="BK80" t="str">
        <f>"BayogoLane"</f>
        <v>BayogoLane</v>
      </c>
      <c r="BL80" t="str">
        <f t="shared" si="45"/>
        <v>PMB 1372 Box 10003 Saipan</v>
      </c>
      <c r="BM80" t="str">
        <f t="shared" si="46"/>
        <v>Gualo Rai</v>
      </c>
      <c r="BO80" t="s">
        <v>83</v>
      </c>
      <c r="BP80" s="4" t="str">
        <f t="shared" si="30"/>
        <v>96950</v>
      </c>
      <c r="BQ80" t="s">
        <v>79</v>
      </c>
      <c r="BR80" t="str">
        <f>"37-3011.00"</f>
        <v>37-3011.00</v>
      </c>
      <c r="BS80" t="s">
        <v>122</v>
      </c>
      <c r="BT80" s="3">
        <v>8.1300000000000008</v>
      </c>
      <c r="BU80" t="s">
        <v>80</v>
      </c>
      <c r="BV80" t="s">
        <v>90</v>
      </c>
      <c r="BW80" t="s">
        <v>92</v>
      </c>
      <c r="BZ80" s="1">
        <v>45107</v>
      </c>
    </row>
    <row r="81" spans="1:78" ht="15" customHeight="1" x14ac:dyDescent="0.25">
      <c r="A81" t="s">
        <v>1510</v>
      </c>
      <c r="B81" t="s">
        <v>94</v>
      </c>
      <c r="C81" s="1">
        <v>44872</v>
      </c>
      <c r="D81" s="1">
        <v>44914</v>
      </c>
      <c r="H81" t="s">
        <v>78</v>
      </c>
      <c r="I81" t="str">
        <f>"ESMORES"</f>
        <v>ESMORES</v>
      </c>
      <c r="J81" t="str">
        <f>"KIMBERLY"</f>
        <v>KIMBERLY</v>
      </c>
      <c r="K81" t="str">
        <f>"BAUTISTA"</f>
        <v>BAUTISTA</v>
      </c>
      <c r="L81" t="str">
        <f>"OWNER"</f>
        <v>OWNER</v>
      </c>
      <c r="M81" t="str">
        <f>"TUN JOAQUIN ROAD, CHALAN KANOA"</f>
        <v>TUN JOAQUIN ROAD, CHALAN KANOA</v>
      </c>
      <c r="N81" t="str">
        <f>"N/A"</f>
        <v>N/A</v>
      </c>
      <c r="O81" t="str">
        <f>"SAIPAN"</f>
        <v>SAIPAN</v>
      </c>
      <c r="P81" t="str">
        <f t="shared" ref="P81:P112" si="47">"MP"</f>
        <v>MP</v>
      </c>
      <c r="Q81" s="4" t="str">
        <f t="shared" si="28"/>
        <v>96950</v>
      </c>
      <c r="R81" t="str">
        <f t="shared" si="25"/>
        <v>UNITED STATES OF AMERICA</v>
      </c>
      <c r="S81" t="str">
        <f>"N/A"</f>
        <v>N/A</v>
      </c>
      <c r="T81" s="5" t="str">
        <f>"16702858138"</f>
        <v>16702858138</v>
      </c>
      <c r="U81" t="str">
        <f>""</f>
        <v/>
      </c>
      <c r="V81" s="5" t="str">
        <f>""</f>
        <v/>
      </c>
      <c r="W81" t="str">
        <f>"enecontruction2021@gmail.com"</f>
        <v>enecontruction2021@gmail.com</v>
      </c>
      <c r="X81" t="str">
        <f>"KIMBERLY BAUTISTA ESMORES"</f>
        <v>KIMBERLY BAUTISTA ESMORES</v>
      </c>
      <c r="Y81" t="str">
        <f>"E&amp;E MAINTENANCE AND CONSTRUCTION"</f>
        <v>E&amp;E MAINTENANCE AND CONSTRUCTION</v>
      </c>
      <c r="Z81" t="str">
        <f>"TUN JOAQUIN ROAD, CHALAN KANOA"</f>
        <v>TUN JOAQUIN ROAD, CHALAN KANOA</v>
      </c>
      <c r="AA81" t="str">
        <f>"N/A"</f>
        <v>N/A</v>
      </c>
      <c r="AB81" t="str">
        <f>"SAIPAN"</f>
        <v>SAIPAN</v>
      </c>
      <c r="AC81" t="str">
        <f t="shared" si="26"/>
        <v>MP</v>
      </c>
      <c r="AD81" t="str">
        <f t="shared" si="29"/>
        <v>96950</v>
      </c>
      <c r="AE81" t="str">
        <f t="shared" si="27"/>
        <v>UNITED STATES OF AMERICA</v>
      </c>
      <c r="AF81" t="str">
        <f>"N/A"</f>
        <v>N/A</v>
      </c>
      <c r="AG81" s="4" t="str">
        <f>"16702858138"</f>
        <v>16702858138</v>
      </c>
      <c r="AH81" t="str">
        <f>""</f>
        <v/>
      </c>
      <c r="AI81" t="str">
        <f>"8114"</f>
        <v>8114</v>
      </c>
      <c r="AJ81" t="s">
        <v>79</v>
      </c>
      <c r="AK81" t="s">
        <v>79</v>
      </c>
      <c r="AL81" t="s">
        <v>80</v>
      </c>
      <c r="AM81" t="s">
        <v>79</v>
      </c>
      <c r="AP81" t="str">
        <f>"GENERAL MAINTENANCE"</f>
        <v>GENERAL MAINTENANCE</v>
      </c>
      <c r="AQ81" t="str">
        <f>"37-3019.00"</f>
        <v>37-3019.00</v>
      </c>
      <c r="AR81" t="str">
        <f>"Grounds Maintenance Workers, All Other"</f>
        <v>Grounds Maintenance Workers, All Other</v>
      </c>
      <c r="AS81" t="str">
        <f>"N/A"</f>
        <v>N/A</v>
      </c>
      <c r="AT81" t="s">
        <v>79</v>
      </c>
      <c r="AU81" t="str">
        <f>""</f>
        <v/>
      </c>
      <c r="AV81" t="str">
        <f>""</f>
        <v/>
      </c>
      <c r="AW81" t="s">
        <v>79</v>
      </c>
      <c r="AX81" t="str">
        <f>""</f>
        <v/>
      </c>
      <c r="AY81" t="s">
        <v>84</v>
      </c>
      <c r="BA81" t="s">
        <v>80</v>
      </c>
      <c r="BB81" t="s">
        <v>79</v>
      </c>
      <c r="BD81" t="s">
        <v>79</v>
      </c>
      <c r="BG81" t="s">
        <v>82</v>
      </c>
      <c r="BH81">
        <v>24</v>
      </c>
      <c r="BI81" t="s">
        <v>88</v>
      </c>
      <c r="BJ81" s="2" t="s">
        <v>1511</v>
      </c>
      <c r="BK81" t="str">
        <f>"CHALAN KANOA"</f>
        <v>CHALAN KANOA</v>
      </c>
      <c r="BL81" t="str">
        <f>"N/A"</f>
        <v>N/A</v>
      </c>
      <c r="BM81" t="str">
        <f>"SAIPAN"</f>
        <v>SAIPAN</v>
      </c>
      <c r="BO81" t="s">
        <v>83</v>
      </c>
      <c r="BP81" s="4" t="str">
        <f t="shared" si="30"/>
        <v>96950</v>
      </c>
      <c r="BQ81" t="s">
        <v>79</v>
      </c>
      <c r="BR81" t="str">
        <f>"49-9071.00"</f>
        <v>49-9071.00</v>
      </c>
      <c r="BS81" t="s">
        <v>146</v>
      </c>
      <c r="BT81" s="3">
        <v>9.19</v>
      </c>
      <c r="BU81" t="s">
        <v>80</v>
      </c>
      <c r="BV81" t="s">
        <v>90</v>
      </c>
      <c r="BW81" t="s">
        <v>92</v>
      </c>
      <c r="BZ81" s="1">
        <v>45107</v>
      </c>
    </row>
    <row r="82" spans="1:78" ht="15" customHeight="1" x14ac:dyDescent="0.25">
      <c r="A82" t="s">
        <v>1512</v>
      </c>
      <c r="B82" t="s">
        <v>94</v>
      </c>
      <c r="C82" s="1">
        <v>44872</v>
      </c>
      <c r="D82" s="1">
        <v>44914</v>
      </c>
      <c r="H82" t="s">
        <v>78</v>
      </c>
      <c r="I82" t="str">
        <f t="shared" ref="I82:I87" si="48">"Qian"</f>
        <v>Qian</v>
      </c>
      <c r="J82" t="str">
        <f t="shared" ref="J82:J87" si="49">"Guocao"</f>
        <v>Guocao</v>
      </c>
      <c r="K82" t="str">
        <f>""</f>
        <v/>
      </c>
      <c r="L82" t="str">
        <f t="shared" ref="L82:L88" si="50">"President"</f>
        <v>President</v>
      </c>
      <c r="M82" t="str">
        <f>"Bayogo Lane"</f>
        <v>Bayogo Lane</v>
      </c>
      <c r="N82" t="str">
        <f t="shared" ref="N82:N87" si="51">"PMB 1372 Box 10003 Saipan"</f>
        <v>PMB 1372 Box 10003 Saipan</v>
      </c>
      <c r="O82" t="str">
        <f t="shared" ref="O82:O87" si="52">"Gualo Rai"</f>
        <v>Gualo Rai</v>
      </c>
      <c r="P82" t="str">
        <f t="shared" si="47"/>
        <v>MP</v>
      </c>
      <c r="Q82" s="4" t="str">
        <f t="shared" si="28"/>
        <v>96950</v>
      </c>
      <c r="R82" t="str">
        <f t="shared" si="25"/>
        <v>UNITED STATES OF AMERICA</v>
      </c>
      <c r="S82" t="str">
        <f>""</f>
        <v/>
      </c>
      <c r="T82" s="5" t="str">
        <f t="shared" ref="T82:T87" si="53">"16702345828"</f>
        <v>16702345828</v>
      </c>
      <c r="U82" t="str">
        <f>""</f>
        <v/>
      </c>
      <c r="V82" s="5" t="str">
        <f>""</f>
        <v/>
      </c>
      <c r="W82" t="str">
        <f t="shared" ref="W82:W87" si="54">"usafanter.operations@gmail.com"</f>
        <v>usafanter.operations@gmail.com</v>
      </c>
      <c r="X82" t="str">
        <f t="shared" ref="X82:X87" si="55">"USA Fanter Corporation Ltd"</f>
        <v>USA Fanter Corporation Ltd</v>
      </c>
      <c r="Y82" t="str">
        <f>""</f>
        <v/>
      </c>
      <c r="Z82" t="str">
        <f t="shared" ref="Z82:Z87" si="56">"Bayogo Lane"</f>
        <v>Bayogo Lane</v>
      </c>
      <c r="AA82" t="str">
        <f t="shared" ref="AA82:AA87" si="57">"PMB 1372 Box 10003 Saipan"</f>
        <v>PMB 1372 Box 10003 Saipan</v>
      </c>
      <c r="AB82" t="str">
        <f>"Gualo Rai"</f>
        <v>Gualo Rai</v>
      </c>
      <c r="AC82" t="str">
        <f t="shared" si="26"/>
        <v>MP</v>
      </c>
      <c r="AD82" t="str">
        <f t="shared" si="29"/>
        <v>96950</v>
      </c>
      <c r="AE82" t="str">
        <f t="shared" si="27"/>
        <v>UNITED STATES OF AMERICA</v>
      </c>
      <c r="AF82" t="str">
        <f>""</f>
        <v/>
      </c>
      <c r="AG82" s="4" t="str">
        <f t="shared" ref="AG82:AG87" si="58">"16702345828"</f>
        <v>16702345828</v>
      </c>
      <c r="AH82" t="str">
        <f>""</f>
        <v/>
      </c>
      <c r="AI82" t="str">
        <f>"2389"</f>
        <v>2389</v>
      </c>
      <c r="AJ82" t="s">
        <v>79</v>
      </c>
      <c r="AK82" t="s">
        <v>79</v>
      </c>
      <c r="AL82" t="s">
        <v>80</v>
      </c>
      <c r="AM82" t="s">
        <v>79</v>
      </c>
      <c r="AP82" t="str">
        <f>"Heavy Equipment Mechanic"</f>
        <v>Heavy Equipment Mechanic</v>
      </c>
      <c r="AQ82" t="str">
        <f>"49-3042.00"</f>
        <v>49-3042.00</v>
      </c>
      <c r="AR82" t="str">
        <f>"Mobile Heavy Equipment Mechanics, Except Engines"</f>
        <v>Mobile Heavy Equipment Mechanics, Except Engines</v>
      </c>
      <c r="AS82" t="str">
        <f t="shared" ref="AS82:AS87" si="59">"President"</f>
        <v>President</v>
      </c>
      <c r="AT82" t="s">
        <v>79</v>
      </c>
      <c r="AU82" t="str">
        <f>""</f>
        <v/>
      </c>
      <c r="AV82" t="str">
        <f>""</f>
        <v/>
      </c>
      <c r="AW82" t="s">
        <v>79</v>
      </c>
      <c r="AX82" t="str">
        <f>""</f>
        <v/>
      </c>
      <c r="AY82" t="s">
        <v>81</v>
      </c>
      <c r="BA82" t="s">
        <v>119</v>
      </c>
      <c r="BB82" t="s">
        <v>79</v>
      </c>
      <c r="BD82" t="s">
        <v>79</v>
      </c>
      <c r="BG82" t="s">
        <v>82</v>
      </c>
      <c r="BH82">
        <v>24</v>
      </c>
      <c r="BI82" t="s">
        <v>168</v>
      </c>
      <c r="BJ82" t="s">
        <v>161</v>
      </c>
      <c r="BK82" t="str">
        <f t="shared" ref="BK82:BK87" si="60">"Bayogo Lane"</f>
        <v>Bayogo Lane</v>
      </c>
      <c r="BL82" t="str">
        <f t="shared" ref="BL82:BL87" si="61">"PMB 1372 Box 10003 Saipan"</f>
        <v>PMB 1372 Box 10003 Saipan</v>
      </c>
      <c r="BM82" t="str">
        <f t="shared" ref="BM82:BM87" si="62">"Gualo Rai"</f>
        <v>Gualo Rai</v>
      </c>
      <c r="BO82" t="s">
        <v>83</v>
      </c>
      <c r="BP82" s="4" t="str">
        <f t="shared" si="30"/>
        <v>96950</v>
      </c>
      <c r="BQ82" t="s">
        <v>79</v>
      </c>
      <c r="BR82" t="str">
        <f>"49-3042.00"</f>
        <v>49-3042.00</v>
      </c>
      <c r="BS82" t="s">
        <v>170</v>
      </c>
      <c r="BT82" s="3">
        <v>11</v>
      </c>
      <c r="BU82" t="s">
        <v>80</v>
      </c>
      <c r="BV82" t="s">
        <v>90</v>
      </c>
      <c r="BW82" t="s">
        <v>92</v>
      </c>
      <c r="BZ82" s="1">
        <v>45107</v>
      </c>
    </row>
    <row r="83" spans="1:78" ht="15" customHeight="1" x14ac:dyDescent="0.25">
      <c r="A83" t="s">
        <v>1513</v>
      </c>
      <c r="B83" t="s">
        <v>94</v>
      </c>
      <c r="C83" s="1">
        <v>44872</v>
      </c>
      <c r="D83" s="1">
        <v>44914</v>
      </c>
      <c r="H83" t="s">
        <v>78</v>
      </c>
      <c r="I83" t="str">
        <f t="shared" si="48"/>
        <v>Qian</v>
      </c>
      <c r="J83" t="str">
        <f t="shared" si="49"/>
        <v>Guocao</v>
      </c>
      <c r="K83" t="str">
        <f>""</f>
        <v/>
      </c>
      <c r="L83" t="str">
        <f t="shared" si="50"/>
        <v>President</v>
      </c>
      <c r="M83" t="str">
        <f>"Bayogo Lane"</f>
        <v>Bayogo Lane</v>
      </c>
      <c r="N83" t="str">
        <f t="shared" si="51"/>
        <v>PMB 1372 Box 10003 Saipan</v>
      </c>
      <c r="O83" t="str">
        <f t="shared" si="52"/>
        <v>Gualo Rai</v>
      </c>
      <c r="P83" t="str">
        <f t="shared" si="47"/>
        <v>MP</v>
      </c>
      <c r="Q83" s="4" t="str">
        <f t="shared" si="28"/>
        <v>96950</v>
      </c>
      <c r="R83" t="str">
        <f t="shared" si="25"/>
        <v>UNITED STATES OF AMERICA</v>
      </c>
      <c r="S83" t="str">
        <f>""</f>
        <v/>
      </c>
      <c r="T83" s="5" t="str">
        <f t="shared" si="53"/>
        <v>16702345828</v>
      </c>
      <c r="U83" t="str">
        <f>""</f>
        <v/>
      </c>
      <c r="V83" s="5" t="str">
        <f>""</f>
        <v/>
      </c>
      <c r="W83" t="str">
        <f t="shared" si="54"/>
        <v>usafanter.operations@gmail.com</v>
      </c>
      <c r="X83" t="str">
        <f t="shared" si="55"/>
        <v>USA Fanter Corporation Ltd</v>
      </c>
      <c r="Y83" t="str">
        <f>""</f>
        <v/>
      </c>
      <c r="Z83" t="str">
        <f t="shared" si="56"/>
        <v>Bayogo Lane</v>
      </c>
      <c r="AA83" t="str">
        <f t="shared" si="57"/>
        <v>PMB 1372 Box 10003 Saipan</v>
      </c>
      <c r="AB83" t="str">
        <f>"Gualo Rai"</f>
        <v>Gualo Rai</v>
      </c>
      <c r="AC83" t="str">
        <f t="shared" si="26"/>
        <v>MP</v>
      </c>
      <c r="AD83" t="str">
        <f t="shared" si="29"/>
        <v>96950</v>
      </c>
      <c r="AE83" t="str">
        <f t="shared" si="27"/>
        <v>UNITED STATES OF AMERICA</v>
      </c>
      <c r="AF83" t="str">
        <f>""</f>
        <v/>
      </c>
      <c r="AG83" s="4" t="str">
        <f t="shared" si="58"/>
        <v>16702345828</v>
      </c>
      <c r="AH83" t="str">
        <f>""</f>
        <v/>
      </c>
      <c r="AI83" t="str">
        <f>"2389"</f>
        <v>2389</v>
      </c>
      <c r="AJ83" t="s">
        <v>79</v>
      </c>
      <c r="AK83" t="s">
        <v>79</v>
      </c>
      <c r="AL83" t="s">
        <v>80</v>
      </c>
      <c r="AM83" t="s">
        <v>79</v>
      </c>
      <c r="AP83" t="str">
        <f>"Heavy and Tractor Trailer Truck Drivers"</f>
        <v>Heavy and Tractor Trailer Truck Drivers</v>
      </c>
      <c r="AQ83" t="str">
        <f>"53-3032.00"</f>
        <v>53-3032.00</v>
      </c>
      <c r="AR83" t="str">
        <f>"Heavy and Tractor-Trailer Truck Drivers"</f>
        <v>Heavy and Tractor-Trailer Truck Drivers</v>
      </c>
      <c r="AS83" t="str">
        <f t="shared" si="59"/>
        <v>President</v>
      </c>
      <c r="AT83" t="s">
        <v>79</v>
      </c>
      <c r="AU83" t="str">
        <f>""</f>
        <v/>
      </c>
      <c r="AV83" t="str">
        <f>""</f>
        <v/>
      </c>
      <c r="AW83" t="s">
        <v>79</v>
      </c>
      <c r="AX83" t="str">
        <f>""</f>
        <v/>
      </c>
      <c r="AY83" t="s">
        <v>81</v>
      </c>
      <c r="BA83" t="s">
        <v>119</v>
      </c>
      <c r="BB83" t="s">
        <v>79</v>
      </c>
      <c r="BD83" t="s">
        <v>79</v>
      </c>
      <c r="BG83" t="s">
        <v>82</v>
      </c>
      <c r="BH83">
        <v>12</v>
      </c>
      <c r="BI83" t="s">
        <v>1514</v>
      </c>
      <c r="BJ83" t="s">
        <v>1515</v>
      </c>
      <c r="BK83" t="str">
        <f t="shared" si="60"/>
        <v>Bayogo Lane</v>
      </c>
      <c r="BL83" t="str">
        <f t="shared" si="61"/>
        <v>PMB 1372 Box 10003 Saipan</v>
      </c>
      <c r="BM83" t="str">
        <f t="shared" si="62"/>
        <v>Gualo Rai</v>
      </c>
      <c r="BO83" t="s">
        <v>83</v>
      </c>
      <c r="BP83" s="4" t="str">
        <f t="shared" si="30"/>
        <v>96950</v>
      </c>
      <c r="BQ83" t="s">
        <v>79</v>
      </c>
      <c r="BR83" t="str">
        <f>"53-3032.00"</f>
        <v>53-3032.00</v>
      </c>
      <c r="BS83" t="s">
        <v>829</v>
      </c>
      <c r="BT83" s="3">
        <v>10.09</v>
      </c>
      <c r="BU83" t="s">
        <v>80</v>
      </c>
      <c r="BV83" t="s">
        <v>90</v>
      </c>
      <c r="BW83" t="s">
        <v>92</v>
      </c>
      <c r="BZ83" s="1">
        <v>45107</v>
      </c>
    </row>
    <row r="84" spans="1:78" ht="15" customHeight="1" x14ac:dyDescent="0.25">
      <c r="A84" t="s">
        <v>1516</v>
      </c>
      <c r="B84" t="s">
        <v>94</v>
      </c>
      <c r="C84" s="1">
        <v>44872</v>
      </c>
      <c r="D84" s="1">
        <v>44914</v>
      </c>
      <c r="H84" t="s">
        <v>78</v>
      </c>
      <c r="I84" t="str">
        <f t="shared" si="48"/>
        <v>Qian</v>
      </c>
      <c r="J84" t="str">
        <f t="shared" si="49"/>
        <v>Guocao</v>
      </c>
      <c r="K84" t="str">
        <f>""</f>
        <v/>
      </c>
      <c r="L84" t="str">
        <f t="shared" si="50"/>
        <v>President</v>
      </c>
      <c r="M84" t="str">
        <f>"Bayogo Lane"</f>
        <v>Bayogo Lane</v>
      </c>
      <c r="N84" t="str">
        <f t="shared" si="51"/>
        <v>PMB 1372 Box 10003 Saipan</v>
      </c>
      <c r="O84" t="str">
        <f t="shared" si="52"/>
        <v>Gualo Rai</v>
      </c>
      <c r="P84" t="str">
        <f t="shared" si="47"/>
        <v>MP</v>
      </c>
      <c r="Q84" s="4" t="str">
        <f t="shared" si="28"/>
        <v>96950</v>
      </c>
      <c r="R84" t="str">
        <f t="shared" si="25"/>
        <v>UNITED STATES OF AMERICA</v>
      </c>
      <c r="S84" t="str">
        <f>""</f>
        <v/>
      </c>
      <c r="T84" s="5" t="str">
        <f t="shared" si="53"/>
        <v>16702345828</v>
      </c>
      <c r="U84" t="str">
        <f>""</f>
        <v/>
      </c>
      <c r="V84" s="5" t="str">
        <f>""</f>
        <v/>
      </c>
      <c r="W84" t="str">
        <f t="shared" si="54"/>
        <v>usafanter.operations@gmail.com</v>
      </c>
      <c r="X84" t="str">
        <f t="shared" si="55"/>
        <v>USA Fanter Corporation Ltd</v>
      </c>
      <c r="Y84" t="str">
        <f>""</f>
        <v/>
      </c>
      <c r="Z84" t="str">
        <f t="shared" si="56"/>
        <v>Bayogo Lane</v>
      </c>
      <c r="AA84" t="str">
        <f t="shared" si="57"/>
        <v>PMB 1372 Box 10003 Saipan</v>
      </c>
      <c r="AB84" t="str">
        <f>"Gualo Rai"</f>
        <v>Gualo Rai</v>
      </c>
      <c r="AC84" t="str">
        <f t="shared" si="26"/>
        <v>MP</v>
      </c>
      <c r="AD84" t="str">
        <f t="shared" si="29"/>
        <v>96950</v>
      </c>
      <c r="AE84" t="str">
        <f t="shared" si="27"/>
        <v>UNITED STATES OF AMERICA</v>
      </c>
      <c r="AF84" t="str">
        <f>""</f>
        <v/>
      </c>
      <c r="AG84" s="4" t="str">
        <f t="shared" si="58"/>
        <v>16702345828</v>
      </c>
      <c r="AH84" t="str">
        <f>""</f>
        <v/>
      </c>
      <c r="AI84" t="str">
        <f>"3273"</f>
        <v>3273</v>
      </c>
      <c r="AJ84" t="s">
        <v>79</v>
      </c>
      <c r="AK84" t="s">
        <v>79</v>
      </c>
      <c r="AL84" t="s">
        <v>80</v>
      </c>
      <c r="AM84" t="s">
        <v>79</v>
      </c>
      <c r="AP84" t="str">
        <f>"Conveyors, Operators and Tenders"</f>
        <v>Conveyors, Operators and Tenders</v>
      </c>
      <c r="AQ84" t="str">
        <f>"53-7011.00"</f>
        <v>53-7011.00</v>
      </c>
      <c r="AR84" t="str">
        <f>"Conveyor Operators and Tenders"</f>
        <v>Conveyor Operators and Tenders</v>
      </c>
      <c r="AS84" t="str">
        <f t="shared" si="59"/>
        <v>President</v>
      </c>
      <c r="AT84" t="s">
        <v>79</v>
      </c>
      <c r="AU84" t="str">
        <f>""</f>
        <v/>
      </c>
      <c r="AV84" t="str">
        <f>""</f>
        <v/>
      </c>
      <c r="AW84" t="s">
        <v>79</v>
      </c>
      <c r="AX84" t="str">
        <f>""</f>
        <v/>
      </c>
      <c r="AY84" t="s">
        <v>84</v>
      </c>
      <c r="BA84" t="s">
        <v>119</v>
      </c>
      <c r="BB84" t="s">
        <v>79</v>
      </c>
      <c r="BD84" t="s">
        <v>79</v>
      </c>
      <c r="BG84" t="s">
        <v>82</v>
      </c>
      <c r="BH84">
        <v>3</v>
      </c>
      <c r="BI84" t="s">
        <v>1517</v>
      </c>
      <c r="BJ84" t="s">
        <v>161</v>
      </c>
      <c r="BK84" t="str">
        <f t="shared" si="60"/>
        <v>Bayogo Lane</v>
      </c>
      <c r="BL84" t="str">
        <f t="shared" si="61"/>
        <v>PMB 1372 Box 10003 Saipan</v>
      </c>
      <c r="BM84" t="str">
        <f t="shared" si="62"/>
        <v>Gualo Rai</v>
      </c>
      <c r="BO84" t="s">
        <v>83</v>
      </c>
      <c r="BP84" s="4" t="str">
        <f t="shared" si="30"/>
        <v>96950</v>
      </c>
      <c r="BQ84" t="s">
        <v>79</v>
      </c>
      <c r="BR84" t="str">
        <f>"53-7011.00"</f>
        <v>53-7011.00</v>
      </c>
      <c r="BS84" t="s">
        <v>791</v>
      </c>
      <c r="BT84" s="3">
        <v>10.17</v>
      </c>
      <c r="BU84" t="s">
        <v>80</v>
      </c>
      <c r="BV84" t="s">
        <v>90</v>
      </c>
      <c r="BW84" t="s">
        <v>92</v>
      </c>
      <c r="BZ84" s="1">
        <v>45107</v>
      </c>
    </row>
    <row r="85" spans="1:78" ht="15" customHeight="1" x14ac:dyDescent="0.25">
      <c r="A85" t="s">
        <v>1518</v>
      </c>
      <c r="B85" t="s">
        <v>94</v>
      </c>
      <c r="C85" s="1">
        <v>44872</v>
      </c>
      <c r="D85" s="1">
        <v>44914</v>
      </c>
      <c r="H85" t="s">
        <v>78</v>
      </c>
      <c r="I85" t="str">
        <f t="shared" si="48"/>
        <v>Qian</v>
      </c>
      <c r="J85" t="str">
        <f t="shared" si="49"/>
        <v>Guocao</v>
      </c>
      <c r="K85" t="str">
        <f>""</f>
        <v/>
      </c>
      <c r="L85" t="str">
        <f t="shared" si="50"/>
        <v>President</v>
      </c>
      <c r="M85" t="str">
        <f>"Bayogo Lane"</f>
        <v>Bayogo Lane</v>
      </c>
      <c r="N85" t="str">
        <f t="shared" si="51"/>
        <v>PMB 1372 Box 10003 Saipan</v>
      </c>
      <c r="O85" t="str">
        <f t="shared" si="52"/>
        <v>Gualo Rai</v>
      </c>
      <c r="P85" t="str">
        <f t="shared" si="47"/>
        <v>MP</v>
      </c>
      <c r="Q85" s="4" t="str">
        <f t="shared" si="28"/>
        <v>96950</v>
      </c>
      <c r="R85" t="str">
        <f t="shared" si="25"/>
        <v>UNITED STATES OF AMERICA</v>
      </c>
      <c r="S85" t="str">
        <f>""</f>
        <v/>
      </c>
      <c r="T85" s="5" t="str">
        <f t="shared" si="53"/>
        <v>16702345828</v>
      </c>
      <c r="U85" t="str">
        <f>""</f>
        <v/>
      </c>
      <c r="V85" s="5" t="str">
        <f>""</f>
        <v/>
      </c>
      <c r="W85" t="str">
        <f t="shared" si="54"/>
        <v>usafanter.operations@gmail.com</v>
      </c>
      <c r="X85" t="str">
        <f t="shared" si="55"/>
        <v>USA Fanter Corporation Ltd</v>
      </c>
      <c r="Y85" t="str">
        <f>""</f>
        <v/>
      </c>
      <c r="Z85" t="str">
        <f t="shared" si="56"/>
        <v>Bayogo Lane</v>
      </c>
      <c r="AA85" t="str">
        <f t="shared" si="57"/>
        <v>PMB 1372 Box 10003 Saipan</v>
      </c>
      <c r="AB85" t="str">
        <f>"Gualo Rai"</f>
        <v>Gualo Rai</v>
      </c>
      <c r="AC85" t="str">
        <f t="shared" si="26"/>
        <v>MP</v>
      </c>
      <c r="AD85" t="str">
        <f t="shared" si="29"/>
        <v>96950</v>
      </c>
      <c r="AE85" t="str">
        <f t="shared" si="27"/>
        <v>UNITED STATES OF AMERICA</v>
      </c>
      <c r="AF85" t="str">
        <f>""</f>
        <v/>
      </c>
      <c r="AG85" s="4" t="str">
        <f t="shared" si="58"/>
        <v>16702345828</v>
      </c>
      <c r="AH85" t="str">
        <f>""</f>
        <v/>
      </c>
      <c r="AI85" t="str">
        <f>"2362"</f>
        <v>2362</v>
      </c>
      <c r="AJ85" t="s">
        <v>79</v>
      </c>
      <c r="AK85" t="s">
        <v>79</v>
      </c>
      <c r="AL85" t="s">
        <v>80</v>
      </c>
      <c r="AM85" t="s">
        <v>79</v>
      </c>
      <c r="AP85" t="str">
        <f>"Construction Laborer"</f>
        <v>Construction Laborer</v>
      </c>
      <c r="AQ85" t="str">
        <f>"47-2061.00"</f>
        <v>47-2061.00</v>
      </c>
      <c r="AR85" t="str">
        <f>"Construction Laborers"</f>
        <v>Construction Laborers</v>
      </c>
      <c r="AS85" t="str">
        <f t="shared" si="59"/>
        <v>President</v>
      </c>
      <c r="AT85" t="s">
        <v>79</v>
      </c>
      <c r="AU85" t="str">
        <f>""</f>
        <v/>
      </c>
      <c r="AV85" t="str">
        <f>""</f>
        <v/>
      </c>
      <c r="AW85" t="s">
        <v>79</v>
      </c>
      <c r="AX85" t="str">
        <f>""</f>
        <v/>
      </c>
      <c r="AY85" t="s">
        <v>84</v>
      </c>
      <c r="BA85" t="s">
        <v>119</v>
      </c>
      <c r="BB85" t="s">
        <v>79</v>
      </c>
      <c r="BD85" t="s">
        <v>79</v>
      </c>
      <c r="BG85" t="s">
        <v>82</v>
      </c>
      <c r="BH85">
        <v>12</v>
      </c>
      <c r="BI85" t="s">
        <v>1519</v>
      </c>
      <c r="BJ85" t="s">
        <v>161</v>
      </c>
      <c r="BK85" t="str">
        <f t="shared" si="60"/>
        <v>Bayogo Lane</v>
      </c>
      <c r="BL85" t="str">
        <f t="shared" si="61"/>
        <v>PMB 1372 Box 10003 Saipan</v>
      </c>
      <c r="BM85" t="str">
        <f t="shared" si="62"/>
        <v>Gualo Rai</v>
      </c>
      <c r="BO85" t="s">
        <v>83</v>
      </c>
      <c r="BP85" s="4" t="str">
        <f t="shared" si="30"/>
        <v>96950</v>
      </c>
      <c r="BQ85" t="s">
        <v>79</v>
      </c>
      <c r="BR85" t="str">
        <f>"47-2061.00"</f>
        <v>47-2061.00</v>
      </c>
      <c r="BS85" t="s">
        <v>91</v>
      </c>
      <c r="BT85" s="3">
        <v>8.75</v>
      </c>
      <c r="BU85" t="s">
        <v>80</v>
      </c>
      <c r="BV85" t="s">
        <v>90</v>
      </c>
      <c r="BW85" t="s">
        <v>92</v>
      </c>
      <c r="BZ85" s="1">
        <v>45107</v>
      </c>
    </row>
    <row r="86" spans="1:78" ht="15" customHeight="1" x14ac:dyDescent="0.25">
      <c r="A86" t="s">
        <v>1520</v>
      </c>
      <c r="B86" t="s">
        <v>94</v>
      </c>
      <c r="C86" s="1">
        <v>44872</v>
      </c>
      <c r="D86" s="1">
        <v>44914</v>
      </c>
      <c r="H86" t="s">
        <v>78</v>
      </c>
      <c r="I86" t="str">
        <f t="shared" si="48"/>
        <v>Qian</v>
      </c>
      <c r="J86" t="str">
        <f t="shared" si="49"/>
        <v>Guocao</v>
      </c>
      <c r="K86" t="str">
        <f>""</f>
        <v/>
      </c>
      <c r="L86" t="str">
        <f t="shared" si="50"/>
        <v>President</v>
      </c>
      <c r="M86" t="str">
        <f>"Bayogo Lane"</f>
        <v>Bayogo Lane</v>
      </c>
      <c r="N86" t="str">
        <f t="shared" si="51"/>
        <v>PMB 1372 Box 10003 Saipan</v>
      </c>
      <c r="O86" t="str">
        <f t="shared" si="52"/>
        <v>Gualo Rai</v>
      </c>
      <c r="P86" t="str">
        <f t="shared" si="47"/>
        <v>MP</v>
      </c>
      <c r="Q86" s="4" t="str">
        <f t="shared" si="28"/>
        <v>96950</v>
      </c>
      <c r="R86" t="str">
        <f t="shared" si="25"/>
        <v>UNITED STATES OF AMERICA</v>
      </c>
      <c r="S86" t="str">
        <f>""</f>
        <v/>
      </c>
      <c r="T86" s="5" t="str">
        <f t="shared" si="53"/>
        <v>16702345828</v>
      </c>
      <c r="U86" t="str">
        <f>""</f>
        <v/>
      </c>
      <c r="V86" s="5" t="str">
        <f>""</f>
        <v/>
      </c>
      <c r="W86" t="str">
        <f t="shared" si="54"/>
        <v>usafanter.operations@gmail.com</v>
      </c>
      <c r="X86" t="str">
        <f t="shared" si="55"/>
        <v>USA Fanter Corporation Ltd</v>
      </c>
      <c r="Y86" t="str">
        <f>""</f>
        <v/>
      </c>
      <c r="Z86" t="str">
        <f t="shared" si="56"/>
        <v>Bayogo Lane</v>
      </c>
      <c r="AA86" t="str">
        <f t="shared" si="57"/>
        <v>PMB 1372 Box 10003 Saipan</v>
      </c>
      <c r="AB86" t="str">
        <f>"Gualo Rai "</f>
        <v xml:space="preserve">Gualo Rai </v>
      </c>
      <c r="AC86" t="str">
        <f t="shared" si="26"/>
        <v>MP</v>
      </c>
      <c r="AD86" t="str">
        <f t="shared" si="29"/>
        <v>96950</v>
      </c>
      <c r="AE86" t="str">
        <f t="shared" si="27"/>
        <v>UNITED STATES OF AMERICA</v>
      </c>
      <c r="AF86" t="str">
        <f>""</f>
        <v/>
      </c>
      <c r="AG86" s="4" t="str">
        <f t="shared" si="58"/>
        <v>16702345828</v>
      </c>
      <c r="AH86" t="str">
        <f>""</f>
        <v/>
      </c>
      <c r="AI86" t="str">
        <f>"2362"</f>
        <v>2362</v>
      </c>
      <c r="AJ86" t="s">
        <v>79</v>
      </c>
      <c r="AK86" t="s">
        <v>79</v>
      </c>
      <c r="AL86" t="s">
        <v>80</v>
      </c>
      <c r="AM86" t="s">
        <v>79</v>
      </c>
      <c r="AP86" t="str">
        <f>"Civil Engineering Technician"</f>
        <v>Civil Engineering Technician</v>
      </c>
      <c r="AQ86" t="str">
        <f>"17-3022.00"</f>
        <v>17-3022.00</v>
      </c>
      <c r="AR86" t="str">
        <f>"Civil Engineering Technologists and Technicians"</f>
        <v>Civil Engineering Technologists and Technicians</v>
      </c>
      <c r="AS86" t="str">
        <f t="shared" si="59"/>
        <v>President</v>
      </c>
      <c r="AT86" t="s">
        <v>79</v>
      </c>
      <c r="AU86" t="str">
        <f>""</f>
        <v/>
      </c>
      <c r="AV86" t="str">
        <f>""</f>
        <v/>
      </c>
      <c r="AW86" t="s">
        <v>79</v>
      </c>
      <c r="AX86" t="str">
        <f>""</f>
        <v/>
      </c>
      <c r="AY86" t="s">
        <v>124</v>
      </c>
      <c r="BA86" t="s">
        <v>1521</v>
      </c>
      <c r="BB86" t="s">
        <v>79</v>
      </c>
      <c r="BD86" t="s">
        <v>79</v>
      </c>
      <c r="BG86" t="s">
        <v>82</v>
      </c>
      <c r="BH86">
        <v>24</v>
      </c>
      <c r="BI86" t="s">
        <v>1522</v>
      </c>
      <c r="BJ86" t="s">
        <v>161</v>
      </c>
      <c r="BK86" t="str">
        <f t="shared" si="60"/>
        <v>Bayogo Lane</v>
      </c>
      <c r="BL86" t="str">
        <f t="shared" si="61"/>
        <v>PMB 1372 Box 10003 Saipan</v>
      </c>
      <c r="BM86" t="str">
        <f t="shared" si="62"/>
        <v>Gualo Rai</v>
      </c>
      <c r="BO86" t="s">
        <v>83</v>
      </c>
      <c r="BP86" s="4" t="str">
        <f t="shared" si="30"/>
        <v>96950</v>
      </c>
      <c r="BQ86" t="s">
        <v>79</v>
      </c>
      <c r="BR86" t="str">
        <f>"17-3022.00"</f>
        <v>17-3022.00</v>
      </c>
      <c r="BS86" t="s">
        <v>490</v>
      </c>
      <c r="BT86" s="3">
        <v>16.75</v>
      </c>
      <c r="BU86" t="s">
        <v>80</v>
      </c>
      <c r="BV86" t="s">
        <v>90</v>
      </c>
      <c r="BW86" t="s">
        <v>92</v>
      </c>
      <c r="BZ86" s="1">
        <v>45107</v>
      </c>
    </row>
    <row r="87" spans="1:78" ht="15" customHeight="1" x14ac:dyDescent="0.25">
      <c r="A87" t="s">
        <v>1523</v>
      </c>
      <c r="B87" t="s">
        <v>94</v>
      </c>
      <c r="C87" s="1">
        <v>44872</v>
      </c>
      <c r="D87" s="1">
        <v>44914</v>
      </c>
      <c r="H87" t="s">
        <v>78</v>
      </c>
      <c r="I87" t="str">
        <f t="shared" si="48"/>
        <v>Qian</v>
      </c>
      <c r="J87" t="str">
        <f t="shared" si="49"/>
        <v>Guocao</v>
      </c>
      <c r="K87" t="str">
        <f>""</f>
        <v/>
      </c>
      <c r="L87" t="str">
        <f t="shared" si="50"/>
        <v>President</v>
      </c>
      <c r="M87" t="str">
        <f>"Bayogo lane"</f>
        <v>Bayogo lane</v>
      </c>
      <c r="N87" t="str">
        <f t="shared" si="51"/>
        <v>PMB 1372 Box 10003 Saipan</v>
      </c>
      <c r="O87" t="str">
        <f t="shared" si="52"/>
        <v>Gualo Rai</v>
      </c>
      <c r="P87" t="str">
        <f t="shared" si="47"/>
        <v>MP</v>
      </c>
      <c r="Q87" s="4" t="str">
        <f t="shared" si="28"/>
        <v>96950</v>
      </c>
      <c r="R87" t="str">
        <f t="shared" si="25"/>
        <v>UNITED STATES OF AMERICA</v>
      </c>
      <c r="S87" t="str">
        <f>""</f>
        <v/>
      </c>
      <c r="T87" s="5" t="str">
        <f t="shared" si="53"/>
        <v>16702345828</v>
      </c>
      <c r="U87" t="str">
        <f>""</f>
        <v/>
      </c>
      <c r="V87" s="5" t="str">
        <f>""</f>
        <v/>
      </c>
      <c r="W87" t="str">
        <f t="shared" si="54"/>
        <v>usafanter.operations@gmail.com</v>
      </c>
      <c r="X87" t="str">
        <f t="shared" si="55"/>
        <v>USA Fanter Corporation Ltd</v>
      </c>
      <c r="Y87" t="str">
        <f>""</f>
        <v/>
      </c>
      <c r="Z87" t="str">
        <f t="shared" si="56"/>
        <v>Bayogo Lane</v>
      </c>
      <c r="AA87" t="str">
        <f t="shared" si="57"/>
        <v>PMB 1372 Box 10003 Saipan</v>
      </c>
      <c r="AB87" t="str">
        <f>"Gualo Rai"</f>
        <v>Gualo Rai</v>
      </c>
      <c r="AC87" t="str">
        <f t="shared" si="26"/>
        <v>MP</v>
      </c>
      <c r="AD87" t="str">
        <f t="shared" si="29"/>
        <v>96950</v>
      </c>
      <c r="AE87" t="str">
        <f t="shared" si="27"/>
        <v>UNITED STATES OF AMERICA</v>
      </c>
      <c r="AF87" t="str">
        <f>""</f>
        <v/>
      </c>
      <c r="AG87" s="4" t="str">
        <f t="shared" si="58"/>
        <v>16702345828</v>
      </c>
      <c r="AH87" t="str">
        <f>""</f>
        <v/>
      </c>
      <c r="AI87" t="str">
        <f>"2362"</f>
        <v>2362</v>
      </c>
      <c r="AJ87" t="s">
        <v>79</v>
      </c>
      <c r="AK87" t="s">
        <v>79</v>
      </c>
      <c r="AL87" t="s">
        <v>80</v>
      </c>
      <c r="AM87" t="s">
        <v>79</v>
      </c>
      <c r="AP87" t="str">
        <f>"Carpenter"</f>
        <v>Carpenter</v>
      </c>
      <c r="AQ87" t="str">
        <f>"47-2031.00"</f>
        <v>47-2031.00</v>
      </c>
      <c r="AR87" t="str">
        <f>"Carpenters"</f>
        <v>Carpenters</v>
      </c>
      <c r="AS87" t="str">
        <f t="shared" si="59"/>
        <v>President</v>
      </c>
      <c r="AT87" t="s">
        <v>79</v>
      </c>
      <c r="AU87" t="str">
        <f>""</f>
        <v/>
      </c>
      <c r="AV87" t="str">
        <f>""</f>
        <v/>
      </c>
      <c r="AW87" t="s">
        <v>79</v>
      </c>
      <c r="AX87" t="str">
        <f>""</f>
        <v/>
      </c>
      <c r="AY87" t="s">
        <v>84</v>
      </c>
      <c r="BA87" t="s">
        <v>119</v>
      </c>
      <c r="BB87" t="s">
        <v>79</v>
      </c>
      <c r="BD87" t="s">
        <v>79</v>
      </c>
      <c r="BG87" t="s">
        <v>82</v>
      </c>
      <c r="BH87">
        <v>12</v>
      </c>
      <c r="BI87" t="s">
        <v>1524</v>
      </c>
      <c r="BJ87" t="s">
        <v>161</v>
      </c>
      <c r="BK87" t="str">
        <f t="shared" si="60"/>
        <v>Bayogo Lane</v>
      </c>
      <c r="BL87" t="str">
        <f t="shared" si="61"/>
        <v>PMB 1372 Box 10003 Saipan</v>
      </c>
      <c r="BM87" t="str">
        <f t="shared" si="62"/>
        <v>Gualo Rai</v>
      </c>
      <c r="BO87" t="s">
        <v>83</v>
      </c>
      <c r="BP87" s="4" t="str">
        <f t="shared" si="30"/>
        <v>96950</v>
      </c>
      <c r="BQ87" t="s">
        <v>79</v>
      </c>
      <c r="BR87" t="str">
        <f>"47-2031.00"</f>
        <v>47-2031.00</v>
      </c>
      <c r="BS87" t="s">
        <v>1525</v>
      </c>
      <c r="BT87" s="3">
        <v>12.73</v>
      </c>
      <c r="BU87" t="s">
        <v>80</v>
      </c>
      <c r="BV87" t="s">
        <v>90</v>
      </c>
      <c r="BW87" t="s">
        <v>92</v>
      </c>
      <c r="BZ87" s="1">
        <v>45107</v>
      </c>
    </row>
    <row r="88" spans="1:78" ht="15" customHeight="1" x14ac:dyDescent="0.25">
      <c r="A88" t="s">
        <v>1526</v>
      </c>
      <c r="B88" t="s">
        <v>94</v>
      </c>
      <c r="C88" s="1">
        <v>44872</v>
      </c>
      <c r="D88" s="1">
        <v>44914</v>
      </c>
      <c r="H88" t="s">
        <v>78</v>
      </c>
      <c r="I88" t="str">
        <f>"Cataluna"</f>
        <v>Cataluna</v>
      </c>
      <c r="J88" t="str">
        <f>"Freddie"</f>
        <v>Freddie</v>
      </c>
      <c r="K88" t="str">
        <f>"Zamora"</f>
        <v>Zamora</v>
      </c>
      <c r="L88" t="str">
        <f t="shared" si="50"/>
        <v>President</v>
      </c>
      <c r="M88" t="str">
        <f>"P.O. Box 503984"</f>
        <v>P.O. Box 503984</v>
      </c>
      <c r="N88" t="str">
        <f>""</f>
        <v/>
      </c>
      <c r="O88" t="str">
        <f>"Saipan"</f>
        <v>Saipan</v>
      </c>
      <c r="P88" t="str">
        <f t="shared" si="47"/>
        <v>MP</v>
      </c>
      <c r="Q88" s="4" t="str">
        <f t="shared" si="28"/>
        <v>96950</v>
      </c>
      <c r="R88" t="str">
        <f t="shared" si="25"/>
        <v>UNITED STATES OF AMERICA</v>
      </c>
      <c r="S88" t="str">
        <f>"N/A"</f>
        <v>N/A</v>
      </c>
      <c r="T88" s="5" t="str">
        <f>"16702336927"</f>
        <v>16702336927</v>
      </c>
      <c r="U88" t="str">
        <f>""</f>
        <v/>
      </c>
      <c r="V88" s="5" t="str">
        <f>""</f>
        <v/>
      </c>
      <c r="W88" t="str">
        <f>"cpacificcorp@gmail.com"</f>
        <v>cpacificcorp@gmail.com</v>
      </c>
      <c r="X88" t="str">
        <f>"C PACIFIC CORPORATION"</f>
        <v>C PACIFIC CORPORATION</v>
      </c>
      <c r="Y88" t="str">
        <f>"Five Star Auto Shop"</f>
        <v>Five Star Auto Shop</v>
      </c>
      <c r="Z88" t="str">
        <f>"P.O. Box 503984"</f>
        <v>P.O. Box 503984</v>
      </c>
      <c r="AA88" t="str">
        <f>""</f>
        <v/>
      </c>
      <c r="AB88" t="str">
        <f>"Saipan"</f>
        <v>Saipan</v>
      </c>
      <c r="AC88" t="str">
        <f t="shared" si="26"/>
        <v>MP</v>
      </c>
      <c r="AD88" t="str">
        <f t="shared" si="29"/>
        <v>96950</v>
      </c>
      <c r="AE88" t="str">
        <f t="shared" si="27"/>
        <v>UNITED STATES OF AMERICA</v>
      </c>
      <c r="AF88" t="str">
        <f>"N/A"</f>
        <v>N/A</v>
      </c>
      <c r="AG88" s="4" t="str">
        <f>"16702336927"</f>
        <v>16702336927</v>
      </c>
      <c r="AH88" t="str">
        <f>""</f>
        <v/>
      </c>
      <c r="AI88" t="str">
        <f>"811111"</f>
        <v>811111</v>
      </c>
      <c r="AJ88" t="s">
        <v>79</v>
      </c>
      <c r="AK88" t="s">
        <v>79</v>
      </c>
      <c r="AL88" t="s">
        <v>80</v>
      </c>
      <c r="AM88" t="s">
        <v>79</v>
      </c>
      <c r="AP88" t="str">
        <f>"Automotive Detailer"</f>
        <v>Automotive Detailer</v>
      </c>
      <c r="AQ88" t="str">
        <f>"53-7061.00"</f>
        <v>53-7061.00</v>
      </c>
      <c r="AR88" t="str">
        <f>"Cleaners of Vehicles and Equipment"</f>
        <v>Cleaners of Vehicles and Equipment</v>
      </c>
      <c r="AS88" t="str">
        <f>"Mechanic Supervisor"</f>
        <v>Mechanic Supervisor</v>
      </c>
      <c r="AT88" t="s">
        <v>79</v>
      </c>
      <c r="AU88" t="str">
        <f>""</f>
        <v/>
      </c>
      <c r="AV88" t="str">
        <f>""</f>
        <v/>
      </c>
      <c r="AW88" t="s">
        <v>79</v>
      </c>
      <c r="AX88" t="str">
        <f>""</f>
        <v/>
      </c>
      <c r="AY88" t="s">
        <v>84</v>
      </c>
      <c r="BA88" t="s">
        <v>80</v>
      </c>
      <c r="BB88" t="s">
        <v>79</v>
      </c>
      <c r="BD88" t="s">
        <v>79</v>
      </c>
      <c r="BG88" t="s">
        <v>82</v>
      </c>
      <c r="BH88">
        <v>12</v>
      </c>
      <c r="BI88" t="s">
        <v>1527</v>
      </c>
      <c r="BJ88" t="s">
        <v>1528</v>
      </c>
      <c r="BK88" t="str">
        <f>"Beach Road San Antonio"</f>
        <v>Beach Road San Antonio</v>
      </c>
      <c r="BL88" t="str">
        <f>""</f>
        <v/>
      </c>
      <c r="BM88" t="str">
        <f>"Saipan"</f>
        <v>Saipan</v>
      </c>
      <c r="BO88" t="s">
        <v>83</v>
      </c>
      <c r="BP88" s="4" t="str">
        <f t="shared" si="30"/>
        <v>96950</v>
      </c>
      <c r="BQ88" t="s">
        <v>79</v>
      </c>
      <c r="BR88" t="str">
        <f>"53-7061.00"</f>
        <v>53-7061.00</v>
      </c>
      <c r="BS88" t="s">
        <v>1529</v>
      </c>
      <c r="BT88" s="3">
        <v>7.72</v>
      </c>
      <c r="BU88" t="s">
        <v>80</v>
      </c>
      <c r="BV88" t="s">
        <v>90</v>
      </c>
      <c r="BW88" t="s">
        <v>92</v>
      </c>
      <c r="BZ88" s="1">
        <v>45107</v>
      </c>
    </row>
    <row r="89" spans="1:78" ht="15" customHeight="1" x14ac:dyDescent="0.25">
      <c r="A89" t="s">
        <v>1530</v>
      </c>
      <c r="B89" t="s">
        <v>94</v>
      </c>
      <c r="C89" s="1">
        <v>44872</v>
      </c>
      <c r="D89" s="1">
        <v>44914</v>
      </c>
      <c r="H89" t="s">
        <v>78</v>
      </c>
      <c r="I89" t="str">
        <f>"MAILMAN"</f>
        <v>MAILMAN</v>
      </c>
      <c r="J89" t="str">
        <f>"BRUCE"</f>
        <v>BRUCE</v>
      </c>
      <c r="K89" t="str">
        <f>"LEE"</f>
        <v>LEE</v>
      </c>
      <c r="L89" t="str">
        <f>"ATTORNEY"</f>
        <v>ATTORNEY</v>
      </c>
      <c r="M89" t="str">
        <f>"PMB 238 BOX 10000"</f>
        <v>PMB 238 BOX 10000</v>
      </c>
      <c r="N89" t="str">
        <f>"2ND FLOOR, SASHA BLDG., BEACH RD. CHALAN LAULAU"</f>
        <v>2ND FLOOR, SASHA BLDG., BEACH RD. CHALAN LAULAU</v>
      </c>
      <c r="O89" t="str">
        <f>"SAIPAN"</f>
        <v>SAIPAN</v>
      </c>
      <c r="P89" t="str">
        <f t="shared" si="47"/>
        <v>MP</v>
      </c>
      <c r="Q89" s="4" t="str">
        <f t="shared" si="28"/>
        <v>96950</v>
      </c>
      <c r="R89" t="str">
        <f t="shared" si="25"/>
        <v>UNITED STATES OF AMERICA</v>
      </c>
      <c r="S89" t="str">
        <f>""</f>
        <v/>
      </c>
      <c r="T89" s="5" t="str">
        <f>"16702330081"</f>
        <v>16702330081</v>
      </c>
      <c r="U89" t="str">
        <f>""</f>
        <v/>
      </c>
      <c r="V89" s="5" t="str">
        <f>""</f>
        <v/>
      </c>
      <c r="W89" t="str">
        <f>"bmailman@lexmarianas.com"</f>
        <v>bmailman@lexmarianas.com</v>
      </c>
      <c r="X89" t="str">
        <f>"ATKINS KROLL (SAIPAN), INC."</f>
        <v>ATKINS KROLL (SAIPAN), INC.</v>
      </c>
      <c r="Y89" t="str">
        <f>""</f>
        <v/>
      </c>
      <c r="Z89" t="str">
        <f>"P.O. BOX 500267"</f>
        <v>P.O. BOX 500267</v>
      </c>
      <c r="AA89" t="str">
        <f>"BEACH RD., CHALAN MONSIGNOR GUERRERO, SAN JOSE"</f>
        <v>BEACH RD., CHALAN MONSIGNOR GUERRERO, SAN JOSE</v>
      </c>
      <c r="AB89" t="str">
        <f>"SAIPAN"</f>
        <v>SAIPAN</v>
      </c>
      <c r="AC89" t="str">
        <f t="shared" si="26"/>
        <v>MP</v>
      </c>
      <c r="AD89" t="str">
        <f t="shared" si="29"/>
        <v>96950</v>
      </c>
      <c r="AE89" t="str">
        <f t="shared" si="27"/>
        <v>UNITED STATES OF AMERICA</v>
      </c>
      <c r="AF89" t="str">
        <f>""</f>
        <v/>
      </c>
      <c r="AG89" s="4" t="str">
        <f>"16702345911"</f>
        <v>16702345911</v>
      </c>
      <c r="AH89" t="str">
        <f>""</f>
        <v/>
      </c>
      <c r="AI89" t="str">
        <f>"441110"</f>
        <v>441110</v>
      </c>
      <c r="AJ89" t="s">
        <v>79</v>
      </c>
      <c r="AK89" t="s">
        <v>79</v>
      </c>
      <c r="AL89" t="s">
        <v>80</v>
      </c>
      <c r="AM89" t="s">
        <v>79</v>
      </c>
      <c r="AP89" t="str">
        <f>"AUTOMOTIVE BODY TECHNICIAN"</f>
        <v>AUTOMOTIVE BODY TECHNICIAN</v>
      </c>
      <c r="AQ89" t="str">
        <f>"49-3021.00"</f>
        <v>49-3021.00</v>
      </c>
      <c r="AR89" t="str">
        <f>"Automotive Body and Related Repairers"</f>
        <v>Automotive Body and Related Repairers</v>
      </c>
      <c r="AS89" t="str">
        <f>"ASSISTANT BODY SHOP MANAGER"</f>
        <v>ASSISTANT BODY SHOP MANAGER</v>
      </c>
      <c r="AT89" t="s">
        <v>79</v>
      </c>
      <c r="AU89" t="str">
        <f>""</f>
        <v/>
      </c>
      <c r="AV89" t="str">
        <f>""</f>
        <v/>
      </c>
      <c r="AW89" t="s">
        <v>79</v>
      </c>
      <c r="AX89" t="str">
        <f>""</f>
        <v/>
      </c>
      <c r="AY89" t="s">
        <v>84</v>
      </c>
      <c r="BA89" t="s">
        <v>80</v>
      </c>
      <c r="BB89" t="s">
        <v>79</v>
      </c>
      <c r="BD89" t="s">
        <v>79</v>
      </c>
      <c r="BG89" t="s">
        <v>82</v>
      </c>
      <c r="BH89">
        <v>24</v>
      </c>
      <c r="BI89" t="s">
        <v>1531</v>
      </c>
      <c r="BJ89" t="s">
        <v>1532</v>
      </c>
      <c r="BK89" t="str">
        <f>"ATKINS KROLL (SAIPAN), INC."</f>
        <v>ATKINS KROLL (SAIPAN), INC.</v>
      </c>
      <c r="BL89" t="str">
        <f>"BEACH RD., CHALAN MONSIGNOR GUERRERO, SAN JOSE"</f>
        <v>BEACH RD., CHALAN MONSIGNOR GUERRERO, SAN JOSE</v>
      </c>
      <c r="BM89" t="str">
        <f>"SAIPAN"</f>
        <v>SAIPAN</v>
      </c>
      <c r="BO89" t="s">
        <v>83</v>
      </c>
      <c r="BP89" s="4" t="str">
        <f t="shared" si="30"/>
        <v>96950</v>
      </c>
      <c r="BQ89" t="s">
        <v>79</v>
      </c>
      <c r="BR89" t="str">
        <f>"49-3021.00"</f>
        <v>49-3021.00</v>
      </c>
      <c r="BS89" t="s">
        <v>1475</v>
      </c>
      <c r="BT89" s="3">
        <v>10.06</v>
      </c>
      <c r="BU89" t="s">
        <v>80</v>
      </c>
      <c r="BV89" t="s">
        <v>90</v>
      </c>
      <c r="BW89" t="s">
        <v>92</v>
      </c>
      <c r="BZ89" s="1">
        <v>45107</v>
      </c>
    </row>
    <row r="90" spans="1:78" ht="15" customHeight="1" x14ac:dyDescent="0.25">
      <c r="A90" t="s">
        <v>1533</v>
      </c>
      <c r="B90" t="s">
        <v>94</v>
      </c>
      <c r="C90" s="1">
        <v>44872</v>
      </c>
      <c r="D90" s="1">
        <v>44914</v>
      </c>
      <c r="H90" t="s">
        <v>78</v>
      </c>
      <c r="I90" t="str">
        <f>"MAILMAN"</f>
        <v>MAILMAN</v>
      </c>
      <c r="J90" t="str">
        <f>"BRUCE"</f>
        <v>BRUCE</v>
      </c>
      <c r="K90" t="str">
        <f>"LEE"</f>
        <v>LEE</v>
      </c>
      <c r="L90" t="str">
        <f>"ATTORNEY"</f>
        <v>ATTORNEY</v>
      </c>
      <c r="M90" t="str">
        <f>"PMB 238 BOX 10000"</f>
        <v>PMB 238 BOX 10000</v>
      </c>
      <c r="N90" t="str">
        <f>"2nd FLOOR, SASHA BLDG., BEACH RD. CHALAN LAULAU"</f>
        <v>2nd FLOOR, SASHA BLDG., BEACH RD. CHALAN LAULAU</v>
      </c>
      <c r="O90" t="str">
        <f>"SAIPAN"</f>
        <v>SAIPAN</v>
      </c>
      <c r="P90" t="str">
        <f t="shared" si="47"/>
        <v>MP</v>
      </c>
      <c r="Q90" s="4" t="str">
        <f t="shared" si="28"/>
        <v>96950</v>
      </c>
      <c r="R90" t="str">
        <f t="shared" si="25"/>
        <v>UNITED STATES OF AMERICA</v>
      </c>
      <c r="S90" t="str">
        <f>""</f>
        <v/>
      </c>
      <c r="T90" s="5" t="str">
        <f>"16702330081"</f>
        <v>16702330081</v>
      </c>
      <c r="U90" t="str">
        <f>""</f>
        <v/>
      </c>
      <c r="V90" s="5" t="str">
        <f>""</f>
        <v/>
      </c>
      <c r="W90" t="str">
        <f>"bmailman@lexmarianas.com"</f>
        <v>bmailman@lexmarianas.com</v>
      </c>
      <c r="X90" t="str">
        <f>"ATKINS KROLL (SAIPAN), INC."</f>
        <v>ATKINS KROLL (SAIPAN), INC.</v>
      </c>
      <c r="Y90" t="str">
        <f>""</f>
        <v/>
      </c>
      <c r="Z90" t="str">
        <f>"P.O. BOX 500267"</f>
        <v>P.O. BOX 500267</v>
      </c>
      <c r="AA90" t="str">
        <f>"BEACH RD., CHALAN MONSIGNOR GUERRERO, SAN JOSE"</f>
        <v>BEACH RD., CHALAN MONSIGNOR GUERRERO, SAN JOSE</v>
      </c>
      <c r="AB90" t="str">
        <f>"SAIPAN"</f>
        <v>SAIPAN</v>
      </c>
      <c r="AC90" t="str">
        <f t="shared" si="26"/>
        <v>MP</v>
      </c>
      <c r="AD90" t="str">
        <f t="shared" si="29"/>
        <v>96950</v>
      </c>
      <c r="AE90" t="str">
        <f t="shared" si="27"/>
        <v>UNITED STATES OF AMERICA</v>
      </c>
      <c r="AF90" t="str">
        <f>""</f>
        <v/>
      </c>
      <c r="AG90" s="4" t="str">
        <f>"16702345911"</f>
        <v>16702345911</v>
      </c>
      <c r="AH90" t="str">
        <f>""</f>
        <v/>
      </c>
      <c r="AI90" t="str">
        <f>"441110"</f>
        <v>441110</v>
      </c>
      <c r="AJ90" t="s">
        <v>79</v>
      </c>
      <c r="AK90" t="s">
        <v>79</v>
      </c>
      <c r="AL90" t="s">
        <v>80</v>
      </c>
      <c r="AM90" t="s">
        <v>79</v>
      </c>
      <c r="AP90" t="str">
        <f>"SALES LOT ATTENDANT"</f>
        <v>SALES LOT ATTENDANT</v>
      </c>
      <c r="AQ90" t="str">
        <f>"53-7065.00"</f>
        <v>53-7065.00</v>
      </c>
      <c r="AR90" t="str">
        <f>"Stockers and Order Fillers"</f>
        <v>Stockers and Order Fillers</v>
      </c>
      <c r="AS90" t="str">
        <f>"SALES AND MARKETING MANAGER"</f>
        <v>SALES AND MARKETING MANAGER</v>
      </c>
      <c r="AT90" t="s">
        <v>79</v>
      </c>
      <c r="AU90" t="str">
        <f>""</f>
        <v/>
      </c>
      <c r="AV90" t="str">
        <f>""</f>
        <v/>
      </c>
      <c r="AW90" t="s">
        <v>79</v>
      </c>
      <c r="AX90" t="str">
        <f>""</f>
        <v/>
      </c>
      <c r="AY90" t="s">
        <v>84</v>
      </c>
      <c r="BA90" t="s">
        <v>80</v>
      </c>
      <c r="BB90" t="s">
        <v>79</v>
      </c>
      <c r="BD90" t="s">
        <v>79</v>
      </c>
      <c r="BG90" t="s">
        <v>82</v>
      </c>
      <c r="BH90">
        <v>3</v>
      </c>
      <c r="BI90" t="s">
        <v>1534</v>
      </c>
      <c r="BJ90" t="s">
        <v>1535</v>
      </c>
      <c r="BK90" t="str">
        <f>"ATKINS KROLL (SAIPAN), INC."</f>
        <v>ATKINS KROLL (SAIPAN), INC.</v>
      </c>
      <c r="BL90" t="str">
        <f>"BEACH RD., CHALAN MONSIGNOR GUERRERO, SAN JOSE"</f>
        <v>BEACH RD., CHALAN MONSIGNOR GUERRERO, SAN JOSE</v>
      </c>
      <c r="BM90" t="str">
        <f>"SAIPAN"</f>
        <v>SAIPAN</v>
      </c>
      <c r="BO90" t="s">
        <v>83</v>
      </c>
      <c r="BP90" s="4" t="str">
        <f t="shared" si="30"/>
        <v>96950</v>
      </c>
      <c r="BQ90" t="s">
        <v>79</v>
      </c>
      <c r="BR90" t="str">
        <f>"53-7065.00"</f>
        <v>53-7065.00</v>
      </c>
      <c r="BS90" t="s">
        <v>342</v>
      </c>
      <c r="BT90" s="3">
        <v>7.97</v>
      </c>
      <c r="BU90" t="s">
        <v>80</v>
      </c>
      <c r="BV90" t="s">
        <v>90</v>
      </c>
      <c r="BW90" t="s">
        <v>92</v>
      </c>
      <c r="BZ90" s="1">
        <v>45107</v>
      </c>
    </row>
    <row r="91" spans="1:78" ht="15" customHeight="1" x14ac:dyDescent="0.25">
      <c r="A91" t="s">
        <v>1536</v>
      </c>
      <c r="B91" t="s">
        <v>94</v>
      </c>
      <c r="C91" s="1">
        <v>44872</v>
      </c>
      <c r="D91" s="1">
        <v>44914</v>
      </c>
      <c r="H91" t="s">
        <v>78</v>
      </c>
      <c r="I91" t="str">
        <f>"MAILMAN"</f>
        <v>MAILMAN</v>
      </c>
      <c r="J91" t="str">
        <f>"BRUCE"</f>
        <v>BRUCE</v>
      </c>
      <c r="K91" t="str">
        <f>"LEE"</f>
        <v>LEE</v>
      </c>
      <c r="L91" t="str">
        <f>"ATTORNEY"</f>
        <v>ATTORNEY</v>
      </c>
      <c r="M91" t="str">
        <f>"PMB 238 BOX 10000"</f>
        <v>PMB 238 BOX 10000</v>
      </c>
      <c r="N91" t="str">
        <f>"2ND FLOOR, SASHA BLDG., BEACH RD. CHALAN LAULAU"</f>
        <v>2ND FLOOR, SASHA BLDG., BEACH RD. CHALAN LAULAU</v>
      </c>
      <c r="O91" t="str">
        <f>"SAIPAN"</f>
        <v>SAIPAN</v>
      </c>
      <c r="P91" t="str">
        <f t="shared" si="47"/>
        <v>MP</v>
      </c>
      <c r="Q91" s="4" t="str">
        <f t="shared" si="28"/>
        <v>96950</v>
      </c>
      <c r="R91" t="str">
        <f t="shared" si="25"/>
        <v>UNITED STATES OF AMERICA</v>
      </c>
      <c r="S91" t="str">
        <f>""</f>
        <v/>
      </c>
      <c r="T91" s="5" t="str">
        <f>"16702330081"</f>
        <v>16702330081</v>
      </c>
      <c r="U91" t="str">
        <f>""</f>
        <v/>
      </c>
      <c r="V91" s="5" t="str">
        <f>""</f>
        <v/>
      </c>
      <c r="W91" t="str">
        <f>"bmailman@lexmarianas.com"</f>
        <v>bmailman@lexmarianas.com</v>
      </c>
      <c r="X91" t="str">
        <f>"ATKINS KROLL (SAIPAN), INC."</f>
        <v>ATKINS KROLL (SAIPAN), INC.</v>
      </c>
      <c r="Y91" t="str">
        <f>""</f>
        <v/>
      </c>
      <c r="Z91" t="str">
        <f>"P.O. BOX 500267"</f>
        <v>P.O. BOX 500267</v>
      </c>
      <c r="AA91" t="str">
        <f>"BEACH RD., CHALAN MONSIGNOR GUERRERO, SAN JOSE"</f>
        <v>BEACH RD., CHALAN MONSIGNOR GUERRERO, SAN JOSE</v>
      </c>
      <c r="AB91" t="str">
        <f>"SAIPAN"</f>
        <v>SAIPAN</v>
      </c>
      <c r="AC91" t="str">
        <f t="shared" si="26"/>
        <v>MP</v>
      </c>
      <c r="AD91" t="str">
        <f t="shared" si="29"/>
        <v>96950</v>
      </c>
      <c r="AE91" t="str">
        <f t="shared" si="27"/>
        <v>UNITED STATES OF AMERICA</v>
      </c>
      <c r="AF91" t="str">
        <f>""</f>
        <v/>
      </c>
      <c r="AG91" s="4" t="str">
        <f>"16702345911"</f>
        <v>16702345911</v>
      </c>
      <c r="AH91" t="str">
        <f>""</f>
        <v/>
      </c>
      <c r="AI91" t="str">
        <f>"441110"</f>
        <v>441110</v>
      </c>
      <c r="AJ91" t="s">
        <v>79</v>
      </c>
      <c r="AK91" t="s">
        <v>79</v>
      </c>
      <c r="AL91" t="s">
        <v>80</v>
      </c>
      <c r="AM91" t="s">
        <v>79</v>
      </c>
      <c r="AP91" t="str">
        <f>"PARTS COUNTER SALESPERSON"</f>
        <v>PARTS COUNTER SALESPERSON</v>
      </c>
      <c r="AQ91" t="str">
        <f>"41-2022.00"</f>
        <v>41-2022.00</v>
      </c>
      <c r="AR91" t="str">
        <f>"Parts Salespersons"</f>
        <v>Parts Salespersons</v>
      </c>
      <c r="AS91" t="str">
        <f>"PARTS SUPERVISOR"</f>
        <v>PARTS SUPERVISOR</v>
      </c>
      <c r="AT91" t="s">
        <v>79</v>
      </c>
      <c r="AU91" t="str">
        <f>""</f>
        <v/>
      </c>
      <c r="AV91" t="str">
        <f>""</f>
        <v/>
      </c>
      <c r="AW91" t="s">
        <v>79</v>
      </c>
      <c r="AX91" t="str">
        <f>""</f>
        <v/>
      </c>
      <c r="AY91" t="s">
        <v>84</v>
      </c>
      <c r="BA91" t="s">
        <v>80</v>
      </c>
      <c r="BB91" t="s">
        <v>79</v>
      </c>
      <c r="BD91" t="s">
        <v>79</v>
      </c>
      <c r="BG91" t="s">
        <v>82</v>
      </c>
      <c r="BH91">
        <v>24</v>
      </c>
      <c r="BI91" t="s">
        <v>1537</v>
      </c>
      <c r="BJ91" t="s">
        <v>1538</v>
      </c>
      <c r="BK91" t="str">
        <f>"ATKINS KROLL (SAIPAN), INC."</f>
        <v>ATKINS KROLL (SAIPAN), INC.</v>
      </c>
      <c r="BL91" t="str">
        <f>"BEACH RD., CHALAN MONSIGNOR GUERRERO, SAN JOSE"</f>
        <v>BEACH RD., CHALAN MONSIGNOR GUERRERO, SAN JOSE</v>
      </c>
      <c r="BM91" t="str">
        <f>"SAIPAN"</f>
        <v>SAIPAN</v>
      </c>
      <c r="BO91" t="s">
        <v>83</v>
      </c>
      <c r="BP91" s="4" t="str">
        <f t="shared" si="30"/>
        <v>96950</v>
      </c>
      <c r="BQ91" t="s">
        <v>79</v>
      </c>
      <c r="BR91" t="str">
        <f>"41-2022.00"</f>
        <v>41-2022.00</v>
      </c>
      <c r="BS91" t="s">
        <v>1539</v>
      </c>
      <c r="BT91" s="3">
        <v>9.4700000000000006</v>
      </c>
      <c r="BU91" t="s">
        <v>80</v>
      </c>
      <c r="BV91" t="s">
        <v>90</v>
      </c>
      <c r="BW91" t="s">
        <v>92</v>
      </c>
      <c r="BZ91" s="1">
        <v>45107</v>
      </c>
    </row>
    <row r="92" spans="1:78" ht="15" customHeight="1" x14ac:dyDescent="0.25">
      <c r="A92" t="s">
        <v>1540</v>
      </c>
      <c r="B92" t="s">
        <v>94</v>
      </c>
      <c r="C92" s="1">
        <v>44872</v>
      </c>
      <c r="D92" s="1">
        <v>44914</v>
      </c>
      <c r="H92" t="s">
        <v>78</v>
      </c>
      <c r="I92" t="str">
        <f>"MAILMAN"</f>
        <v>MAILMAN</v>
      </c>
      <c r="J92" t="str">
        <f>"BRUCE"</f>
        <v>BRUCE</v>
      </c>
      <c r="K92" t="str">
        <f>"LEE"</f>
        <v>LEE</v>
      </c>
      <c r="L92" t="str">
        <f>"ATTORNEY"</f>
        <v>ATTORNEY</v>
      </c>
      <c r="M92" t="str">
        <f>"PMB 238 BOX 10000"</f>
        <v>PMB 238 BOX 10000</v>
      </c>
      <c r="N92" t="str">
        <f>"2nd FLOOR, SASHA BLDG., BEACH RD. CHALAN LAULAU"</f>
        <v>2nd FLOOR, SASHA BLDG., BEACH RD. CHALAN LAULAU</v>
      </c>
      <c r="O92" t="str">
        <f>"SAIPAN"</f>
        <v>SAIPAN</v>
      </c>
      <c r="P92" t="str">
        <f t="shared" si="47"/>
        <v>MP</v>
      </c>
      <c r="Q92" s="4" t="str">
        <f t="shared" si="28"/>
        <v>96950</v>
      </c>
      <c r="R92" t="str">
        <f t="shared" si="25"/>
        <v>UNITED STATES OF AMERICA</v>
      </c>
      <c r="S92" t="str">
        <f>""</f>
        <v/>
      </c>
      <c r="T92" s="5" t="str">
        <f>"16702330081"</f>
        <v>16702330081</v>
      </c>
      <c r="U92" t="str">
        <f>""</f>
        <v/>
      </c>
      <c r="V92" s="5" t="str">
        <f>""</f>
        <v/>
      </c>
      <c r="W92" t="str">
        <f>"bmailman@lexmarianas.com"</f>
        <v>bmailman@lexmarianas.com</v>
      </c>
      <c r="X92" t="str">
        <f>"ATKINS KROLL (SAIPAN), INC. "</f>
        <v xml:space="preserve">ATKINS KROLL (SAIPAN), INC. </v>
      </c>
      <c r="Y92" t="str">
        <f>""</f>
        <v/>
      </c>
      <c r="Z92" t="str">
        <f>"P.O. BOX 500267"</f>
        <v>P.O. BOX 500267</v>
      </c>
      <c r="AA92" t="str">
        <f>"BEACH ROAD, CHALAN MONSIGNOR GUERRERO, SAN JOSE"</f>
        <v>BEACH ROAD, CHALAN MONSIGNOR GUERRERO, SAN JOSE</v>
      </c>
      <c r="AB92" t="str">
        <f>"SAIPAN"</f>
        <v>SAIPAN</v>
      </c>
      <c r="AC92" t="str">
        <f t="shared" si="26"/>
        <v>MP</v>
      </c>
      <c r="AD92" t="str">
        <f t="shared" si="29"/>
        <v>96950</v>
      </c>
      <c r="AE92" t="str">
        <f t="shared" si="27"/>
        <v>UNITED STATES OF AMERICA</v>
      </c>
      <c r="AF92" t="str">
        <f>""</f>
        <v/>
      </c>
      <c r="AG92" s="4" t="str">
        <f>"16702345911"</f>
        <v>16702345911</v>
      </c>
      <c r="AH92" t="str">
        <f>""</f>
        <v/>
      </c>
      <c r="AI92" t="str">
        <f>"441110"</f>
        <v>441110</v>
      </c>
      <c r="AJ92" t="s">
        <v>79</v>
      </c>
      <c r="AK92" t="s">
        <v>79</v>
      </c>
      <c r="AL92" t="s">
        <v>80</v>
      </c>
      <c r="AM92" t="s">
        <v>79</v>
      </c>
      <c r="AP92" t="str">
        <f>"GENERAL MAINTENANCE WORKER"</f>
        <v>GENERAL MAINTENANCE WORKER</v>
      </c>
      <c r="AQ92" t="str">
        <f>"49-9071.00"</f>
        <v>49-9071.00</v>
      </c>
      <c r="AR92" t="str">
        <f>"Maintenance and Repair Workers, General"</f>
        <v>Maintenance and Repair Workers, General</v>
      </c>
      <c r="AS92" t="str">
        <f>"GENERAL MANAGER &amp; VICE PRESIDENT"</f>
        <v>GENERAL MANAGER &amp; VICE PRESIDENT</v>
      </c>
      <c r="AT92" t="s">
        <v>79</v>
      </c>
      <c r="AU92" t="str">
        <f>""</f>
        <v/>
      </c>
      <c r="AV92" t="str">
        <f>""</f>
        <v/>
      </c>
      <c r="AW92" t="s">
        <v>79</v>
      </c>
      <c r="AX92" t="str">
        <f>""</f>
        <v/>
      </c>
      <c r="AY92" t="s">
        <v>84</v>
      </c>
      <c r="BA92" t="s">
        <v>80</v>
      </c>
      <c r="BB92" t="s">
        <v>79</v>
      </c>
      <c r="BD92" t="s">
        <v>79</v>
      </c>
      <c r="BG92" t="s">
        <v>82</v>
      </c>
      <c r="BH92">
        <v>24</v>
      </c>
      <c r="BI92" t="s">
        <v>1541</v>
      </c>
      <c r="BJ92" t="s">
        <v>1542</v>
      </c>
      <c r="BK92" t="str">
        <f>"ATKINS KROLL (SAIPAN), INC."</f>
        <v>ATKINS KROLL (SAIPAN), INC.</v>
      </c>
      <c r="BL92" t="str">
        <f>"BEACH RD., CHALAN MONSIGNOR GUERRERO, SAN JOSE"</f>
        <v>BEACH RD., CHALAN MONSIGNOR GUERRERO, SAN JOSE</v>
      </c>
      <c r="BM92" t="str">
        <f>"SAIPAN"</f>
        <v>SAIPAN</v>
      </c>
      <c r="BO92" t="s">
        <v>83</v>
      </c>
      <c r="BP92" s="4" t="str">
        <f t="shared" si="30"/>
        <v>96950</v>
      </c>
      <c r="BQ92" t="s">
        <v>79</v>
      </c>
      <c r="BR92" t="str">
        <f>"49-9071.00"</f>
        <v>49-9071.00</v>
      </c>
      <c r="BS92" t="s">
        <v>146</v>
      </c>
      <c r="BT92" s="3">
        <v>9.19</v>
      </c>
      <c r="BU92" t="s">
        <v>80</v>
      </c>
      <c r="BV92" t="s">
        <v>90</v>
      </c>
      <c r="BW92" t="s">
        <v>92</v>
      </c>
      <c r="BZ92" s="1">
        <v>45107</v>
      </c>
    </row>
    <row r="93" spans="1:78" ht="15" customHeight="1" x14ac:dyDescent="0.25">
      <c r="A93" t="s">
        <v>1543</v>
      </c>
      <c r="B93" t="s">
        <v>94</v>
      </c>
      <c r="C93" s="1">
        <v>44872</v>
      </c>
      <c r="D93" s="1">
        <v>44914</v>
      </c>
      <c r="H93" t="s">
        <v>78</v>
      </c>
      <c r="I93" t="str">
        <f>"TORRES"</f>
        <v>TORRES</v>
      </c>
      <c r="J93" t="str">
        <f>"ELIZABETH"</f>
        <v>ELIZABETH</v>
      </c>
      <c r="K93" t="str">
        <f>"BARTOLOME"</f>
        <v>BARTOLOME</v>
      </c>
      <c r="L93" t="str">
        <f>"GENERAL MANAGER"</f>
        <v>GENERAL MANAGER</v>
      </c>
      <c r="M93" t="str">
        <f>"P.O. BOX 506557"</f>
        <v>P.O. BOX 506557</v>
      </c>
      <c r="N93" t="str">
        <f>"TUN HERMAN PAN ROAD, DANDAN"</f>
        <v>TUN HERMAN PAN ROAD, DANDAN</v>
      </c>
      <c r="O93" t="str">
        <f>"SAIPAN"</f>
        <v>SAIPAN</v>
      </c>
      <c r="P93" t="str">
        <f t="shared" si="47"/>
        <v>MP</v>
      </c>
      <c r="Q93" s="4" t="str">
        <f t="shared" si="28"/>
        <v>96950</v>
      </c>
      <c r="R93" t="str">
        <f t="shared" si="25"/>
        <v>UNITED STATES OF AMERICA</v>
      </c>
      <c r="S93" t="str">
        <f>"NORTHERN MARIANA ISLANDS"</f>
        <v>NORTHERN MARIANA ISLANDS</v>
      </c>
      <c r="T93" s="5" t="str">
        <f>"16702881463"</f>
        <v>16702881463</v>
      </c>
      <c r="U93" t="str">
        <f>""</f>
        <v/>
      </c>
      <c r="V93" s="5" t="str">
        <f>""</f>
        <v/>
      </c>
      <c r="W93" t="str">
        <f>"e_supplyenterprise@yahoo.com"</f>
        <v>e_supplyenterprise@yahoo.com</v>
      </c>
      <c r="X93" t="str">
        <f>"E SUPPLY ENTERPRISE"</f>
        <v>E SUPPLY ENTERPRISE</v>
      </c>
      <c r="Y93" t="str">
        <f>""</f>
        <v/>
      </c>
      <c r="Z93" t="str">
        <f>"P.O. BOX 506557"</f>
        <v>P.O. BOX 506557</v>
      </c>
      <c r="AA93" t="str">
        <f>"TUN HERMAN PAN ROAD, DANDAN"</f>
        <v>TUN HERMAN PAN ROAD, DANDAN</v>
      </c>
      <c r="AB93" t="str">
        <f>"SAIPAN"</f>
        <v>SAIPAN</v>
      </c>
      <c r="AC93" t="str">
        <f t="shared" si="26"/>
        <v>MP</v>
      </c>
      <c r="AD93" t="str">
        <f t="shared" si="29"/>
        <v>96950</v>
      </c>
      <c r="AE93" t="str">
        <f t="shared" si="27"/>
        <v>UNITED STATES OF AMERICA</v>
      </c>
      <c r="AF93" t="str">
        <f>"NORTHERN MARIANA ISLANDS"</f>
        <v>NORTHERN MARIANA ISLANDS</v>
      </c>
      <c r="AG93" s="4" t="str">
        <f>"1670288143"</f>
        <v>1670288143</v>
      </c>
      <c r="AH93" t="str">
        <f>""</f>
        <v/>
      </c>
      <c r="AI93" t="str">
        <f>"561320"</f>
        <v>561320</v>
      </c>
      <c r="AJ93" t="s">
        <v>79</v>
      </c>
      <c r="AK93" t="s">
        <v>79</v>
      </c>
      <c r="AL93" t="s">
        <v>80</v>
      </c>
      <c r="AM93" t="s">
        <v>79</v>
      </c>
      <c r="AP93" t="str">
        <f>"JANITORS AND CLEANERS, EXCEPT MAIDS AND HOUSEKEEPING CLEANER"</f>
        <v>JANITORS AND CLEANERS, EXCEPT MAIDS AND HOUSEKEEPING CLEANER</v>
      </c>
      <c r="AQ93" t="str">
        <f>"37-2011.00"</f>
        <v>37-2011.00</v>
      </c>
      <c r="AR93" t="str">
        <f>"Janitors and Cleaners, Except Maids and Housekeeping Cleaners"</f>
        <v>Janitors and Cleaners, Except Maids and Housekeeping Cleaners</v>
      </c>
      <c r="AS93" t="str">
        <f>"GENERAL MANAGER"</f>
        <v>GENERAL MANAGER</v>
      </c>
      <c r="AT93" t="s">
        <v>79</v>
      </c>
      <c r="AU93" t="str">
        <f>""</f>
        <v/>
      </c>
      <c r="AV93" t="str">
        <f>""</f>
        <v/>
      </c>
      <c r="AW93" t="s">
        <v>79</v>
      </c>
      <c r="AX93" t="str">
        <f>""</f>
        <v/>
      </c>
      <c r="AY93" t="s">
        <v>84</v>
      </c>
      <c r="BA93" t="s">
        <v>80</v>
      </c>
      <c r="BB93" t="s">
        <v>79</v>
      </c>
      <c r="BD93" t="s">
        <v>82</v>
      </c>
      <c r="BE93">
        <v>1</v>
      </c>
      <c r="BF93" t="s">
        <v>1544</v>
      </c>
      <c r="BG93" t="s">
        <v>82</v>
      </c>
      <c r="BH93">
        <v>1</v>
      </c>
      <c r="BI93" t="s">
        <v>1544</v>
      </c>
      <c r="BJ93" t="s">
        <v>1545</v>
      </c>
      <c r="BK93" t="str">
        <f>"P.O. BOX 506557"</f>
        <v>P.O. BOX 506557</v>
      </c>
      <c r="BL93" t="str">
        <f>"TUN HERMAN PAN AIRPORT ROAD, DANDAN"</f>
        <v>TUN HERMAN PAN AIRPORT ROAD, DANDAN</v>
      </c>
      <c r="BM93" t="str">
        <f>"SAIPAN"</f>
        <v>SAIPAN</v>
      </c>
      <c r="BO93" t="s">
        <v>83</v>
      </c>
      <c r="BP93" s="4" t="str">
        <f t="shared" si="30"/>
        <v>96950</v>
      </c>
      <c r="BQ93" t="s">
        <v>79</v>
      </c>
      <c r="BR93" t="str">
        <f>"37-2011.00"</f>
        <v>37-2011.00</v>
      </c>
      <c r="BS93" t="s">
        <v>313</v>
      </c>
      <c r="BT93" s="3">
        <v>7.99</v>
      </c>
      <c r="BU93" t="s">
        <v>80</v>
      </c>
      <c r="BV93" t="s">
        <v>90</v>
      </c>
      <c r="BW93" t="s">
        <v>92</v>
      </c>
      <c r="BZ93" s="1">
        <v>45107</v>
      </c>
    </row>
    <row r="94" spans="1:78" ht="15" customHeight="1" x14ac:dyDescent="0.25">
      <c r="A94" t="s">
        <v>1472</v>
      </c>
      <c r="B94" t="s">
        <v>94</v>
      </c>
      <c r="C94" s="1">
        <v>44871</v>
      </c>
      <c r="D94" s="1">
        <v>44914</v>
      </c>
      <c r="H94" t="s">
        <v>78</v>
      </c>
      <c r="I94" t="str">
        <f>"ARRIOLA"</f>
        <v>ARRIOLA</v>
      </c>
      <c r="J94" t="str">
        <f>"NASEON"</f>
        <v>NASEON</v>
      </c>
      <c r="K94" t="str">
        <f>""</f>
        <v/>
      </c>
      <c r="L94" t="str">
        <f>"General Manager"</f>
        <v>General Manager</v>
      </c>
      <c r="M94" t="str">
        <f>"PO Box 999"</f>
        <v>PO Box 999</v>
      </c>
      <c r="N94" t="str">
        <f>"Sinapalo"</f>
        <v>Sinapalo</v>
      </c>
      <c r="O94" t="str">
        <f>"Rota"</f>
        <v>Rota</v>
      </c>
      <c r="P94" t="str">
        <f t="shared" si="47"/>
        <v>MP</v>
      </c>
      <c r="Q94" s="4" t="str">
        <f>"96951"</f>
        <v>96951</v>
      </c>
      <c r="R94" t="str">
        <f t="shared" si="25"/>
        <v>UNITED STATES OF AMERICA</v>
      </c>
      <c r="S94" t="str">
        <f>""</f>
        <v/>
      </c>
      <c r="T94" s="5" t="str">
        <f>"16705323131"</f>
        <v>16705323131</v>
      </c>
      <c r="U94" t="str">
        <f>""</f>
        <v/>
      </c>
      <c r="V94" s="5" t="str">
        <f>""</f>
        <v/>
      </c>
      <c r="W94" t="str">
        <f>"sycorporation.rota@gmail.com"</f>
        <v>sycorporation.rota@gmail.com</v>
      </c>
      <c r="X94" t="str">
        <f>"S &amp; Y CORPORATION"</f>
        <v>S &amp; Y CORPORATION</v>
      </c>
      <c r="Y94" t="str">
        <f>""</f>
        <v/>
      </c>
      <c r="Z94" t="str">
        <f>"PO BOX 999 SINAPALO"</f>
        <v>PO BOX 999 SINAPALO</v>
      </c>
      <c r="AA94" t="str">
        <f>""</f>
        <v/>
      </c>
      <c r="AB94" t="str">
        <f>"ROTA"</f>
        <v>ROTA</v>
      </c>
      <c r="AC94" t="str">
        <f t="shared" si="26"/>
        <v>MP</v>
      </c>
      <c r="AD94" t="str">
        <f>"96951"</f>
        <v>96951</v>
      </c>
      <c r="AE94" t="str">
        <f t="shared" si="27"/>
        <v>UNITED STATES OF AMERICA</v>
      </c>
      <c r="AF94" t="str">
        <f>""</f>
        <v/>
      </c>
      <c r="AG94" s="4" t="str">
        <f>"16705323131"</f>
        <v>16705323131</v>
      </c>
      <c r="AH94" t="str">
        <f>""</f>
        <v/>
      </c>
      <c r="AI94" t="str">
        <f>"4523"</f>
        <v>4523</v>
      </c>
      <c r="AJ94" t="s">
        <v>79</v>
      </c>
      <c r="AK94" t="s">
        <v>79</v>
      </c>
      <c r="AL94" t="s">
        <v>80</v>
      </c>
      <c r="AM94" t="s">
        <v>79</v>
      </c>
      <c r="AP94" t="str">
        <f>"AUTOMOTIVE PAINTER"</f>
        <v>AUTOMOTIVE PAINTER</v>
      </c>
      <c r="AQ94" t="str">
        <f>"49-3021.00"</f>
        <v>49-3021.00</v>
      </c>
      <c r="AR94" t="str">
        <f>"Automotive Body and Related Repairers"</f>
        <v>Automotive Body and Related Repairers</v>
      </c>
      <c r="AS94" t="str">
        <f>"General Manager"</f>
        <v>General Manager</v>
      </c>
      <c r="AT94" t="s">
        <v>79</v>
      </c>
      <c r="AU94" t="str">
        <f>""</f>
        <v/>
      </c>
      <c r="AV94" t="str">
        <f>""</f>
        <v/>
      </c>
      <c r="AW94" t="s">
        <v>79</v>
      </c>
      <c r="AX94" t="str">
        <f>""</f>
        <v/>
      </c>
      <c r="AY94" t="s">
        <v>81</v>
      </c>
      <c r="BA94" t="s">
        <v>81</v>
      </c>
      <c r="BB94" t="s">
        <v>79</v>
      </c>
      <c r="BD94" t="s">
        <v>79</v>
      </c>
      <c r="BG94" t="s">
        <v>82</v>
      </c>
      <c r="BH94">
        <v>6</v>
      </c>
      <c r="BI94" t="s">
        <v>1473</v>
      </c>
      <c r="BJ94" t="s">
        <v>1474</v>
      </c>
      <c r="BK94" t="str">
        <f>"Sinapalo"</f>
        <v>Sinapalo</v>
      </c>
      <c r="BL94" t="str">
        <f>""</f>
        <v/>
      </c>
      <c r="BM94" t="str">
        <f>"Rota"</f>
        <v>Rota</v>
      </c>
      <c r="BO94" t="s">
        <v>83</v>
      </c>
      <c r="BP94" s="4" t="str">
        <f>"96951"</f>
        <v>96951</v>
      </c>
      <c r="BQ94" t="s">
        <v>79</v>
      </c>
      <c r="BR94" t="str">
        <f>"49-3021.00"</f>
        <v>49-3021.00</v>
      </c>
      <c r="BS94" t="s">
        <v>1475</v>
      </c>
      <c r="BT94" s="3">
        <v>10.06</v>
      </c>
      <c r="BU94" t="s">
        <v>80</v>
      </c>
      <c r="BV94" t="s">
        <v>90</v>
      </c>
      <c r="BW94" t="s">
        <v>92</v>
      </c>
      <c r="BZ94" s="1">
        <v>45107</v>
      </c>
    </row>
    <row r="95" spans="1:78" ht="15" customHeight="1" x14ac:dyDescent="0.25">
      <c r="A95" t="s">
        <v>1476</v>
      </c>
      <c r="B95" t="s">
        <v>94</v>
      </c>
      <c r="C95" s="1">
        <v>44871</v>
      </c>
      <c r="D95" s="1">
        <v>44914</v>
      </c>
      <c r="H95" t="s">
        <v>78</v>
      </c>
      <c r="I95" t="str">
        <f>"XU"</f>
        <v>XU</v>
      </c>
      <c r="J95" t="str">
        <f>"GUORONG"</f>
        <v>GUORONG</v>
      </c>
      <c r="K95" t="str">
        <f>""</f>
        <v/>
      </c>
      <c r="L95" t="str">
        <f>"SECRETARY"</f>
        <v>SECRETARY</v>
      </c>
      <c r="M95" t="str">
        <f>"SAN ANTONIO "</f>
        <v xml:space="preserve">SAN ANTONIO </v>
      </c>
      <c r="N95" t="str">
        <f>"N/A"</f>
        <v>N/A</v>
      </c>
      <c r="O95" t="str">
        <f t="shared" ref="O95:O102" si="63">"SAIPAN"</f>
        <v>SAIPAN</v>
      </c>
      <c r="P95" t="str">
        <f t="shared" si="47"/>
        <v>MP</v>
      </c>
      <c r="Q95" s="4" t="str">
        <f t="shared" ref="Q95:Q110" si="64">"96950"</f>
        <v>96950</v>
      </c>
      <c r="R95" t="str">
        <f t="shared" si="25"/>
        <v>UNITED STATES OF AMERICA</v>
      </c>
      <c r="S95" t="str">
        <f>""</f>
        <v/>
      </c>
      <c r="T95" s="5" t="str">
        <f>"16704830068"</f>
        <v>16704830068</v>
      </c>
      <c r="U95" t="str">
        <f>""</f>
        <v/>
      </c>
      <c r="V95" s="5" t="str">
        <f>""</f>
        <v/>
      </c>
      <c r="W95" t="str">
        <f>"yinglv@yahoo.com"</f>
        <v>yinglv@yahoo.com</v>
      </c>
      <c r="X95" t="str">
        <f>"LVYING CORPORATION "</f>
        <v xml:space="preserve">LVYING CORPORATION </v>
      </c>
      <c r="Y95" t="str">
        <f>"COMMERCIAL FARMING "</f>
        <v xml:space="preserve">COMMERCIAL FARMING </v>
      </c>
      <c r="Z95" t="str">
        <f>"SAN ANTONIO "</f>
        <v xml:space="preserve">SAN ANTONIO </v>
      </c>
      <c r="AA95" t="str">
        <f>"n/a"</f>
        <v>n/a</v>
      </c>
      <c r="AB95" t="str">
        <f>"saipan"</f>
        <v>saipan</v>
      </c>
      <c r="AC95" t="str">
        <f t="shared" si="26"/>
        <v>MP</v>
      </c>
      <c r="AD95" t="str">
        <f t="shared" ref="AD95:AD110" si="65">"96950"</f>
        <v>96950</v>
      </c>
      <c r="AE95" t="str">
        <f t="shared" si="27"/>
        <v>UNITED STATES OF AMERICA</v>
      </c>
      <c r="AF95" t="str">
        <f>""</f>
        <v/>
      </c>
      <c r="AG95" s="4" t="str">
        <f>"16704830068"</f>
        <v>16704830068</v>
      </c>
      <c r="AH95" t="str">
        <f>""</f>
        <v/>
      </c>
      <c r="AI95" t="str">
        <f>"11121"</f>
        <v>11121</v>
      </c>
      <c r="AJ95" t="s">
        <v>79</v>
      </c>
      <c r="AK95" t="s">
        <v>79</v>
      </c>
      <c r="AL95" t="s">
        <v>80</v>
      </c>
      <c r="AM95" t="s">
        <v>79</v>
      </c>
      <c r="AP95" t="str">
        <f>"FARMER"</f>
        <v>FARMER</v>
      </c>
      <c r="AQ95" t="str">
        <f>"45-2092.00"</f>
        <v>45-2092.00</v>
      </c>
      <c r="AR95" t="str">
        <f>"Farmworkers and Laborers, Crop, Nursery, and Greenhouse"</f>
        <v>Farmworkers and Laborers, Crop, Nursery, and Greenhouse</v>
      </c>
      <c r="AS95" t="str">
        <f>""</f>
        <v/>
      </c>
      <c r="AT95" t="s">
        <v>79</v>
      </c>
      <c r="AU95" t="str">
        <f>""</f>
        <v/>
      </c>
      <c r="AV95" t="str">
        <f>""</f>
        <v/>
      </c>
      <c r="AW95" t="s">
        <v>79</v>
      </c>
      <c r="AX95" t="str">
        <f>""</f>
        <v/>
      </c>
      <c r="AY95" t="s">
        <v>81</v>
      </c>
      <c r="BA95" t="s">
        <v>80</v>
      </c>
      <c r="BB95" t="s">
        <v>79</v>
      </c>
      <c r="BD95" t="s">
        <v>79</v>
      </c>
      <c r="BG95" t="s">
        <v>82</v>
      </c>
      <c r="BH95">
        <v>3</v>
      </c>
      <c r="BI95" t="s">
        <v>1477</v>
      </c>
      <c r="BJ95" s="2" t="s">
        <v>1478</v>
      </c>
      <c r="BK95" t="str">
        <f>"SAN ANTONIO"</f>
        <v>SAN ANTONIO</v>
      </c>
      <c r="BL95" t="str">
        <f>"N/A"</f>
        <v>N/A</v>
      </c>
      <c r="BM95" t="str">
        <f t="shared" ref="BM95:BM102" si="66">"SAIPAN"</f>
        <v>SAIPAN</v>
      </c>
      <c r="BO95" t="s">
        <v>83</v>
      </c>
      <c r="BP95" s="4" t="str">
        <f t="shared" ref="BP95:BP110" si="67">"96950"</f>
        <v>96950</v>
      </c>
      <c r="BQ95" t="s">
        <v>79</v>
      </c>
      <c r="BR95" t="str">
        <f>"45-2093.00"</f>
        <v>45-2093.00</v>
      </c>
      <c r="BS95" t="s">
        <v>574</v>
      </c>
      <c r="BT95" s="3">
        <v>10.51</v>
      </c>
      <c r="BU95" t="s">
        <v>80</v>
      </c>
      <c r="BV95" t="s">
        <v>90</v>
      </c>
      <c r="BW95" t="s">
        <v>265</v>
      </c>
      <c r="BZ95" s="1">
        <v>45107</v>
      </c>
    </row>
    <row r="96" spans="1:78" ht="15" customHeight="1" x14ac:dyDescent="0.25">
      <c r="A96" t="s">
        <v>1479</v>
      </c>
      <c r="B96" t="s">
        <v>94</v>
      </c>
      <c r="C96" s="1">
        <v>44871</v>
      </c>
      <c r="D96" s="1">
        <v>44914</v>
      </c>
      <c r="H96" t="s">
        <v>78</v>
      </c>
      <c r="I96" t="str">
        <f>"ALDAN"</f>
        <v>ALDAN</v>
      </c>
      <c r="J96" t="str">
        <f>"RAMON"</f>
        <v>RAMON</v>
      </c>
      <c r="K96" t="str">
        <f>"B"</f>
        <v>B</v>
      </c>
      <c r="L96" t="str">
        <f>"SECRETARY"</f>
        <v>SECRETARY</v>
      </c>
      <c r="M96" t="str">
        <f>"MIDDLE ROAD IN GARAPAN"</f>
        <v>MIDDLE ROAD IN GARAPAN</v>
      </c>
      <c r="N96" t="str">
        <f>"N/A"</f>
        <v>N/A</v>
      </c>
      <c r="O96" t="str">
        <f t="shared" si="63"/>
        <v>SAIPAN</v>
      </c>
      <c r="P96" t="str">
        <f t="shared" si="47"/>
        <v>MP</v>
      </c>
      <c r="Q96" s="4" t="str">
        <f t="shared" si="64"/>
        <v>96950</v>
      </c>
      <c r="R96" t="str">
        <f t="shared" si="25"/>
        <v>UNITED STATES OF AMERICA</v>
      </c>
      <c r="S96" t="str">
        <f>""</f>
        <v/>
      </c>
      <c r="T96" s="5" t="str">
        <f>"16702336669"</f>
        <v>16702336669</v>
      </c>
      <c r="U96" t="str">
        <f>""</f>
        <v/>
      </c>
      <c r="V96" s="5" t="str">
        <f>""</f>
        <v/>
      </c>
      <c r="W96" t="str">
        <f>"aliceinternationalcorp@gmail.com"</f>
        <v>aliceinternationalcorp@gmail.com</v>
      </c>
      <c r="X96" t="str">
        <f>"ALICE INTERNATIONAL CORPORATION"</f>
        <v>ALICE INTERNATIONAL CORPORATION</v>
      </c>
      <c r="Y96" t="str">
        <f>"LAUNDROMAT "</f>
        <v xml:space="preserve">LAUNDROMAT </v>
      </c>
      <c r="Z96" t="str">
        <f>"MIDDLE ROAD IN GARAPAN"</f>
        <v>MIDDLE ROAD IN GARAPAN</v>
      </c>
      <c r="AA96" t="str">
        <f>"N/A"</f>
        <v>N/A</v>
      </c>
      <c r="AB96" t="str">
        <f t="shared" ref="AB96:AB102" si="68">"SAIPAN"</f>
        <v>SAIPAN</v>
      </c>
      <c r="AC96" t="str">
        <f t="shared" si="26"/>
        <v>MP</v>
      </c>
      <c r="AD96" t="str">
        <f t="shared" si="65"/>
        <v>96950</v>
      </c>
      <c r="AE96" t="str">
        <f t="shared" si="27"/>
        <v>UNITED STATES OF AMERICA</v>
      </c>
      <c r="AF96" t="str">
        <f>""</f>
        <v/>
      </c>
      <c r="AG96" s="4" t="str">
        <f>"16702336669"</f>
        <v>16702336669</v>
      </c>
      <c r="AH96" t="str">
        <f>""</f>
        <v/>
      </c>
      <c r="AI96" t="str">
        <f>"812310"</f>
        <v>812310</v>
      </c>
      <c r="AJ96" t="s">
        <v>79</v>
      </c>
      <c r="AK96" t="s">
        <v>79</v>
      </c>
      <c r="AL96" t="s">
        <v>80</v>
      </c>
      <c r="AM96" t="s">
        <v>79</v>
      </c>
      <c r="AP96" t="str">
        <f>"laundromat Attendant"</f>
        <v>laundromat Attendant</v>
      </c>
      <c r="AQ96" t="str">
        <f>"51-6011.00"</f>
        <v>51-6011.00</v>
      </c>
      <c r="AR96" t="str">
        <f>"Laundry and Dry-Cleaning Workers"</f>
        <v>Laundry and Dry-Cleaning Workers</v>
      </c>
      <c r="AS96" t="str">
        <f>""</f>
        <v/>
      </c>
      <c r="AT96" t="s">
        <v>79</v>
      </c>
      <c r="AU96" t="str">
        <f>""</f>
        <v/>
      </c>
      <c r="AV96" t="str">
        <f>""</f>
        <v/>
      </c>
      <c r="AW96" t="s">
        <v>79</v>
      </c>
      <c r="AX96" t="str">
        <f>""</f>
        <v/>
      </c>
      <c r="AY96" t="s">
        <v>81</v>
      </c>
      <c r="BA96" t="s">
        <v>80</v>
      </c>
      <c r="BB96" t="s">
        <v>79</v>
      </c>
      <c r="BD96" t="s">
        <v>79</v>
      </c>
      <c r="BG96" t="s">
        <v>82</v>
      </c>
      <c r="BH96">
        <v>6</v>
      </c>
      <c r="BI96" t="s">
        <v>1480</v>
      </c>
      <c r="BJ96" t="s">
        <v>1481</v>
      </c>
      <c r="BK96" t="str">
        <f>"middle road in Garapan"</f>
        <v>middle road in Garapan</v>
      </c>
      <c r="BL96" t="str">
        <f>"N/A"</f>
        <v>N/A</v>
      </c>
      <c r="BM96" t="str">
        <f t="shared" si="66"/>
        <v>SAIPAN</v>
      </c>
      <c r="BO96" t="s">
        <v>83</v>
      </c>
      <c r="BP96" s="4" t="str">
        <f t="shared" si="67"/>
        <v>96950</v>
      </c>
      <c r="BQ96" t="s">
        <v>79</v>
      </c>
      <c r="BR96" t="str">
        <f>"51-6011.00"</f>
        <v>51-6011.00</v>
      </c>
      <c r="BS96" t="s">
        <v>981</v>
      </c>
      <c r="BT96" s="3">
        <v>8.0299999999999994</v>
      </c>
      <c r="BU96" t="s">
        <v>80</v>
      </c>
      <c r="BV96" t="s">
        <v>90</v>
      </c>
      <c r="BW96" t="s">
        <v>92</v>
      </c>
      <c r="BZ96" s="1">
        <v>45107</v>
      </c>
    </row>
    <row r="97" spans="1:78" ht="15" customHeight="1" x14ac:dyDescent="0.25">
      <c r="A97" t="s">
        <v>1482</v>
      </c>
      <c r="B97" t="s">
        <v>94</v>
      </c>
      <c r="C97" s="1">
        <v>44871</v>
      </c>
      <c r="D97" s="1">
        <v>44914</v>
      </c>
      <c r="H97" t="s">
        <v>78</v>
      </c>
      <c r="I97" t="str">
        <f>"LEE"</f>
        <v>LEE</v>
      </c>
      <c r="J97" t="str">
        <f>"YOUNG CHUL"</f>
        <v>YOUNG CHUL</v>
      </c>
      <c r="K97" t="str">
        <f>""</f>
        <v/>
      </c>
      <c r="L97" t="str">
        <f>"PRESIDENT"</f>
        <v>PRESIDENT</v>
      </c>
      <c r="M97" t="str">
        <f>"PO BOX 506607"</f>
        <v>PO BOX 506607</v>
      </c>
      <c r="N97" t="str">
        <f>""</f>
        <v/>
      </c>
      <c r="O97" t="str">
        <f t="shared" si="63"/>
        <v>SAIPAN</v>
      </c>
      <c r="P97" t="str">
        <f t="shared" si="47"/>
        <v>MP</v>
      </c>
      <c r="Q97" s="4" t="str">
        <f t="shared" si="64"/>
        <v>96950</v>
      </c>
      <c r="R97" t="str">
        <f t="shared" si="25"/>
        <v>UNITED STATES OF AMERICA</v>
      </c>
      <c r="S97" t="str">
        <f>"NA"</f>
        <v>NA</v>
      </c>
      <c r="T97" s="5" t="str">
        <f>"16704831315"</f>
        <v>16704831315</v>
      </c>
      <c r="U97" t="str">
        <f>""</f>
        <v/>
      </c>
      <c r="V97" s="5" t="str">
        <f>""</f>
        <v/>
      </c>
      <c r="W97" t="str">
        <f>"musungspn@gmail.com"</f>
        <v>musungspn@gmail.com</v>
      </c>
      <c r="X97" t="str">
        <f>"MU SUNG CORPORATION"</f>
        <v>MU SUNG CORPORATION</v>
      </c>
      <c r="Y97" t="str">
        <f>""</f>
        <v/>
      </c>
      <c r="Z97" t="str">
        <f>"PO BOX 506607"</f>
        <v>PO BOX 506607</v>
      </c>
      <c r="AA97" t="str">
        <f>""</f>
        <v/>
      </c>
      <c r="AB97" t="str">
        <f t="shared" si="68"/>
        <v>SAIPAN</v>
      </c>
      <c r="AC97" t="str">
        <f t="shared" si="26"/>
        <v>MP</v>
      </c>
      <c r="AD97" t="str">
        <f t="shared" si="65"/>
        <v>96950</v>
      </c>
      <c r="AE97" t="str">
        <f t="shared" si="27"/>
        <v>UNITED STATES OF AMERICA</v>
      </c>
      <c r="AF97" t="str">
        <f>"NA"</f>
        <v>NA</v>
      </c>
      <c r="AG97" s="4" t="str">
        <f>"16704831315"</f>
        <v>16704831315</v>
      </c>
      <c r="AH97" t="str">
        <f>""</f>
        <v/>
      </c>
      <c r="AI97" t="str">
        <f>"531210"</f>
        <v>531210</v>
      </c>
      <c r="AJ97" t="s">
        <v>79</v>
      </c>
      <c r="AK97" t="s">
        <v>79</v>
      </c>
      <c r="AL97" t="s">
        <v>80</v>
      </c>
      <c r="AM97" t="s">
        <v>79</v>
      </c>
      <c r="AP97" t="str">
        <f>"Supervisors of Office and Administrative Support Workers"</f>
        <v>Supervisors of Office and Administrative Support Workers</v>
      </c>
      <c r="AQ97" t="str">
        <f>"43-1011.00"</f>
        <v>43-1011.00</v>
      </c>
      <c r="AR97" t="str">
        <f>"First-Line Supervisors of Office and Administrative Support Workers"</f>
        <v>First-Line Supervisors of Office and Administrative Support Workers</v>
      </c>
      <c r="AS97" t="str">
        <f>"MANAGER"</f>
        <v>MANAGER</v>
      </c>
      <c r="AT97" t="s">
        <v>82</v>
      </c>
      <c r="AU97" t="str">
        <f>"2"</f>
        <v>2</v>
      </c>
      <c r="AV97" t="str">
        <f>"Peer"</f>
        <v>Peer</v>
      </c>
      <c r="AW97" t="s">
        <v>79</v>
      </c>
      <c r="AX97" t="str">
        <f>""</f>
        <v/>
      </c>
      <c r="AY97" t="s">
        <v>95</v>
      </c>
      <c r="BA97" t="s">
        <v>206</v>
      </c>
      <c r="BB97" t="s">
        <v>79</v>
      </c>
      <c r="BD97" t="s">
        <v>79</v>
      </c>
      <c r="BG97" t="s">
        <v>82</v>
      </c>
      <c r="BH97">
        <v>12</v>
      </c>
      <c r="BI97" t="s">
        <v>206</v>
      </c>
      <c r="BJ97" t="s">
        <v>206</v>
      </c>
      <c r="BK97" t="str">
        <f>"KAGMAN VILLAGE"</f>
        <v>KAGMAN VILLAGE</v>
      </c>
      <c r="BL97" t="str">
        <f>""</f>
        <v/>
      </c>
      <c r="BM97" t="str">
        <f t="shared" si="66"/>
        <v>SAIPAN</v>
      </c>
      <c r="BO97" t="s">
        <v>83</v>
      </c>
      <c r="BP97" s="4" t="str">
        <f t="shared" si="67"/>
        <v>96950</v>
      </c>
      <c r="BQ97" t="s">
        <v>79</v>
      </c>
      <c r="BR97" t="str">
        <f>"43-1011.00"</f>
        <v>43-1011.00</v>
      </c>
      <c r="BS97" t="s">
        <v>845</v>
      </c>
      <c r="BT97" s="3">
        <v>14.93</v>
      </c>
      <c r="BU97" t="s">
        <v>80</v>
      </c>
      <c r="BV97" t="s">
        <v>90</v>
      </c>
      <c r="BW97" t="s">
        <v>92</v>
      </c>
      <c r="BZ97" s="1">
        <v>45107</v>
      </c>
    </row>
    <row r="98" spans="1:78" ht="15" customHeight="1" x14ac:dyDescent="0.25">
      <c r="A98" t="s">
        <v>1483</v>
      </c>
      <c r="B98" t="s">
        <v>94</v>
      </c>
      <c r="C98" s="1">
        <v>44871</v>
      </c>
      <c r="D98" s="1">
        <v>44914</v>
      </c>
      <c r="H98" t="s">
        <v>78</v>
      </c>
      <c r="I98" t="str">
        <f>"SONGCUAN"</f>
        <v>SONGCUAN</v>
      </c>
      <c r="J98" t="str">
        <f>"SATURNINO"</f>
        <v>SATURNINO</v>
      </c>
      <c r="K98" t="str">
        <f>"DULAY"</f>
        <v>DULAY</v>
      </c>
      <c r="L98" t="str">
        <f>"CONTROLLER &amp; DIRECTOR"</f>
        <v>CONTROLLER &amp; DIRECTOR</v>
      </c>
      <c r="M98" t="str">
        <f>"P.O. BOX 502862"</f>
        <v>P.O. BOX 502862</v>
      </c>
      <c r="N98" t="str">
        <f>""</f>
        <v/>
      </c>
      <c r="O98" t="str">
        <f t="shared" si="63"/>
        <v>SAIPAN</v>
      </c>
      <c r="P98" t="str">
        <f t="shared" si="47"/>
        <v>MP</v>
      </c>
      <c r="Q98" s="4" t="str">
        <f t="shared" si="64"/>
        <v>96950</v>
      </c>
      <c r="R98" t="str">
        <f t="shared" si="25"/>
        <v>UNITED STATES OF AMERICA</v>
      </c>
      <c r="S98" t="str">
        <f>""</f>
        <v/>
      </c>
      <c r="T98" s="5" t="str">
        <f>"16702340898"</f>
        <v>16702340898</v>
      </c>
      <c r="U98" t="str">
        <f>""</f>
        <v/>
      </c>
      <c r="V98" s="5" t="str">
        <f>""</f>
        <v/>
      </c>
      <c r="W98" t="str">
        <f>"CHO_JINJOOCORP@YAHOO.COM"</f>
        <v>CHO_JINJOOCORP@YAHOO.COM</v>
      </c>
      <c r="X98" t="str">
        <f>"GREEN MEADOW SCHOOL"</f>
        <v>GREEN MEADOW SCHOOL</v>
      </c>
      <c r="Y98" t="str">
        <f>"PURE LOVE DAYCARE "</f>
        <v xml:space="preserve">PURE LOVE DAYCARE </v>
      </c>
      <c r="Z98" t="str">
        <f>"P.O. BOX 502862 "</f>
        <v xml:space="preserve">P.O. BOX 502862 </v>
      </c>
      <c r="AA98" t="str">
        <f>""</f>
        <v/>
      </c>
      <c r="AB98" t="str">
        <f t="shared" si="68"/>
        <v>SAIPAN</v>
      </c>
      <c r="AC98" t="str">
        <f t="shared" si="26"/>
        <v>MP</v>
      </c>
      <c r="AD98" t="str">
        <f t="shared" si="65"/>
        <v>96950</v>
      </c>
      <c r="AE98" t="str">
        <f t="shared" si="27"/>
        <v>UNITED STATES OF AMERICA</v>
      </c>
      <c r="AF98" t="str">
        <f>""</f>
        <v/>
      </c>
      <c r="AG98" s="4" t="str">
        <f>"16702340898"</f>
        <v>16702340898</v>
      </c>
      <c r="AH98" t="str">
        <f>""</f>
        <v/>
      </c>
      <c r="AI98" t="str">
        <f>"6244"</f>
        <v>6244</v>
      </c>
      <c r="AJ98" t="s">
        <v>79</v>
      </c>
      <c r="AK98" t="s">
        <v>79</v>
      </c>
      <c r="AL98" t="s">
        <v>80</v>
      </c>
      <c r="AM98" t="s">
        <v>79</v>
      </c>
      <c r="AP98" t="str">
        <f>"CHILDCARE ATTENDANT"</f>
        <v>CHILDCARE ATTENDANT</v>
      </c>
      <c r="AQ98" t="str">
        <f>"39-9011.00"</f>
        <v>39-9011.00</v>
      </c>
      <c r="AR98" t="str">
        <f>"Childcare Workers"</f>
        <v>Childcare Workers</v>
      </c>
      <c r="AS98" t="str">
        <f>"N/A"</f>
        <v>N/A</v>
      </c>
      <c r="AT98" t="s">
        <v>79</v>
      </c>
      <c r="AU98" t="str">
        <f>""</f>
        <v/>
      </c>
      <c r="AV98" t="str">
        <f>""</f>
        <v/>
      </c>
      <c r="AW98" t="s">
        <v>79</v>
      </c>
      <c r="AX98" t="str">
        <f>""</f>
        <v/>
      </c>
      <c r="AY98" t="s">
        <v>84</v>
      </c>
      <c r="BA98" t="s">
        <v>80</v>
      </c>
      <c r="BB98" t="s">
        <v>79</v>
      </c>
      <c r="BD98" t="s">
        <v>79</v>
      </c>
      <c r="BG98" t="s">
        <v>82</v>
      </c>
      <c r="BH98">
        <v>12</v>
      </c>
      <c r="BI98" t="s">
        <v>437</v>
      </c>
      <c r="BJ98" t="s">
        <v>1484</v>
      </c>
      <c r="BK98" t="str">
        <f>"MURENA PLACE, CHALAN KIYA VILLAGE"</f>
        <v>MURENA PLACE, CHALAN KIYA VILLAGE</v>
      </c>
      <c r="BL98" t="str">
        <f>""</f>
        <v/>
      </c>
      <c r="BM98" t="str">
        <f t="shared" si="66"/>
        <v>SAIPAN</v>
      </c>
      <c r="BO98" t="s">
        <v>83</v>
      </c>
      <c r="BP98" s="4" t="str">
        <f t="shared" si="67"/>
        <v>96950</v>
      </c>
      <c r="BQ98" t="s">
        <v>79</v>
      </c>
      <c r="BR98" t="str">
        <f>"39-9011.00"</f>
        <v>39-9011.00</v>
      </c>
      <c r="BS98" t="s">
        <v>551</v>
      </c>
      <c r="BT98" s="3">
        <v>7.53</v>
      </c>
      <c r="BU98" t="s">
        <v>80</v>
      </c>
      <c r="BV98" t="s">
        <v>90</v>
      </c>
      <c r="BW98" t="s">
        <v>92</v>
      </c>
      <c r="BZ98" s="1">
        <v>45107</v>
      </c>
    </row>
    <row r="99" spans="1:78" ht="15" customHeight="1" x14ac:dyDescent="0.25">
      <c r="A99" t="s">
        <v>1462</v>
      </c>
      <c r="B99" t="s">
        <v>94</v>
      </c>
      <c r="C99" s="1">
        <v>44870</v>
      </c>
      <c r="D99" s="1">
        <v>44910</v>
      </c>
      <c r="H99" t="s">
        <v>78</v>
      </c>
      <c r="I99" t="str">
        <f>"SHEU"</f>
        <v>SHEU</v>
      </c>
      <c r="J99" t="str">
        <f>"MICHAEL"</f>
        <v>MICHAEL</v>
      </c>
      <c r="K99" t="str">
        <f>"UNPINGCO"</f>
        <v>UNPINGCO</v>
      </c>
      <c r="L99" t="str">
        <f>"PRESIDENT"</f>
        <v>PRESIDENT</v>
      </c>
      <c r="M99" t="str">
        <f>"3786 AFETNAS RD SAN ANTONIO"</f>
        <v>3786 AFETNAS RD SAN ANTONIO</v>
      </c>
      <c r="N99" t="str">
        <f>""</f>
        <v/>
      </c>
      <c r="O99" t="str">
        <f t="shared" si="63"/>
        <v>SAIPAN</v>
      </c>
      <c r="P99" t="str">
        <f t="shared" si="47"/>
        <v>MP</v>
      </c>
      <c r="Q99" s="4" t="str">
        <f t="shared" si="64"/>
        <v>96950</v>
      </c>
      <c r="R99" t="str">
        <f t="shared" si="25"/>
        <v>UNITED STATES OF AMERICA</v>
      </c>
      <c r="S99" t="str">
        <f>""</f>
        <v/>
      </c>
      <c r="T99" s="5" t="str">
        <f>"16702358748"</f>
        <v>16702358748</v>
      </c>
      <c r="U99" t="str">
        <f>""</f>
        <v/>
      </c>
      <c r="V99" s="5" t="str">
        <f>""</f>
        <v/>
      </c>
      <c r="W99" t="str">
        <f>"hongye-mei@hotmail.com"</f>
        <v>hongye-mei@hotmail.com</v>
      </c>
      <c r="X99" t="str">
        <f>"HONG YE RENTAL &amp; CONSTRUCTION LTD"</f>
        <v>HONG YE RENTAL &amp; CONSTRUCTION LTD</v>
      </c>
      <c r="Y99" t="str">
        <f>""</f>
        <v/>
      </c>
      <c r="Z99" t="str">
        <f>"3786 AFETNAS RD SAN ANTONIO"</f>
        <v>3786 AFETNAS RD SAN ANTONIO</v>
      </c>
      <c r="AA99" t="str">
        <f>""</f>
        <v/>
      </c>
      <c r="AB99" t="str">
        <f t="shared" si="68"/>
        <v>SAIPAN</v>
      </c>
      <c r="AC99" t="str">
        <f t="shared" si="26"/>
        <v>MP</v>
      </c>
      <c r="AD99" t="str">
        <f t="shared" si="65"/>
        <v>96950</v>
      </c>
      <c r="AE99" t="str">
        <f t="shared" si="27"/>
        <v>UNITED STATES OF AMERICA</v>
      </c>
      <c r="AF99" t="str">
        <f>""</f>
        <v/>
      </c>
      <c r="AG99" s="4" t="str">
        <f>"16702358748"</f>
        <v>16702358748</v>
      </c>
      <c r="AH99" t="str">
        <f>""</f>
        <v/>
      </c>
      <c r="AI99" t="str">
        <f>"2362"</f>
        <v>2362</v>
      </c>
      <c r="AJ99" t="s">
        <v>79</v>
      </c>
      <c r="AK99" t="s">
        <v>79</v>
      </c>
      <c r="AL99" t="s">
        <v>80</v>
      </c>
      <c r="AM99" t="s">
        <v>79</v>
      </c>
      <c r="AP99" t="str">
        <f>"REPAIR AND MAINTENANCE WORKER"</f>
        <v>REPAIR AND MAINTENANCE WORKER</v>
      </c>
      <c r="AQ99" t="str">
        <f>"49-9071.00"</f>
        <v>49-9071.00</v>
      </c>
      <c r="AR99" t="str">
        <f>"Maintenance and Repair Workers, General"</f>
        <v>Maintenance and Repair Workers, General</v>
      </c>
      <c r="AS99" t="str">
        <f>"SUPERVISOR"</f>
        <v>SUPERVISOR</v>
      </c>
      <c r="AT99" t="s">
        <v>79</v>
      </c>
      <c r="AU99" t="str">
        <f>""</f>
        <v/>
      </c>
      <c r="AV99" t="str">
        <f>""</f>
        <v/>
      </c>
      <c r="AW99" t="s">
        <v>79</v>
      </c>
      <c r="AX99" t="str">
        <f>""</f>
        <v/>
      </c>
      <c r="AY99" t="s">
        <v>84</v>
      </c>
      <c r="BA99" t="s">
        <v>80</v>
      </c>
      <c r="BB99" t="s">
        <v>79</v>
      </c>
      <c r="BD99" t="s">
        <v>79</v>
      </c>
      <c r="BG99" t="s">
        <v>82</v>
      </c>
      <c r="BH99">
        <v>12</v>
      </c>
      <c r="BI99" t="s">
        <v>1463</v>
      </c>
      <c r="BJ99" t="s">
        <v>115</v>
      </c>
      <c r="BK99" t="str">
        <f>"3786 AFETNAS RD SAN ANTONIO"</f>
        <v>3786 AFETNAS RD SAN ANTONIO</v>
      </c>
      <c r="BL99" t="str">
        <f>""</f>
        <v/>
      </c>
      <c r="BM99" t="str">
        <f t="shared" si="66"/>
        <v>SAIPAN</v>
      </c>
      <c r="BO99" t="s">
        <v>83</v>
      </c>
      <c r="BP99" s="4" t="str">
        <f t="shared" si="67"/>
        <v>96950</v>
      </c>
      <c r="BQ99" t="s">
        <v>79</v>
      </c>
      <c r="BR99" t="str">
        <f>"49-9071.00"</f>
        <v>49-9071.00</v>
      </c>
      <c r="BS99" t="s">
        <v>146</v>
      </c>
      <c r="BT99" s="3">
        <v>9.19</v>
      </c>
      <c r="BU99" t="s">
        <v>80</v>
      </c>
      <c r="BV99" t="s">
        <v>90</v>
      </c>
      <c r="BW99" t="s">
        <v>92</v>
      </c>
      <c r="BZ99" s="1">
        <v>45107</v>
      </c>
    </row>
    <row r="100" spans="1:78" ht="15" customHeight="1" x14ac:dyDescent="0.25">
      <c r="A100" t="s">
        <v>1464</v>
      </c>
      <c r="B100" t="s">
        <v>94</v>
      </c>
      <c r="C100" s="1">
        <v>44870</v>
      </c>
      <c r="D100" s="1">
        <v>44910</v>
      </c>
      <c r="H100" t="s">
        <v>78</v>
      </c>
      <c r="I100" t="str">
        <f>"LLAGA "</f>
        <v xml:space="preserve">LLAGA </v>
      </c>
      <c r="J100" t="str">
        <f>"MARIBETH"</f>
        <v>MARIBETH</v>
      </c>
      <c r="K100" t="str">
        <f>"DIZON"</f>
        <v>DIZON</v>
      </c>
      <c r="L100" t="str">
        <f>"PRESIDENT"</f>
        <v>PRESIDENT</v>
      </c>
      <c r="M100" t="str">
        <f>"P.O. BOX 7134 SVRB, CRISPINA ST."</f>
        <v>P.O. BOX 7134 SVRB, CRISPINA ST.</v>
      </c>
      <c r="N100" t="str">
        <f>"CHALAN KANOA"</f>
        <v>CHALAN KANOA</v>
      </c>
      <c r="O100" t="str">
        <f t="shared" si="63"/>
        <v>SAIPAN</v>
      </c>
      <c r="P100" t="str">
        <f t="shared" si="47"/>
        <v>MP</v>
      </c>
      <c r="Q100" s="4" t="str">
        <f t="shared" si="64"/>
        <v>96950</v>
      </c>
      <c r="R100" t="str">
        <f t="shared" si="25"/>
        <v>UNITED STATES OF AMERICA</v>
      </c>
      <c r="S100" t="str">
        <f>"MP"</f>
        <v>MP</v>
      </c>
      <c r="T100" s="5" t="str">
        <f>"16707883138"</f>
        <v>16707883138</v>
      </c>
      <c r="U100" t="str">
        <f>""</f>
        <v/>
      </c>
      <c r="V100" s="5" t="str">
        <f>""</f>
        <v/>
      </c>
      <c r="W100" t="str">
        <f>"manzcorporation@gmail.com"</f>
        <v>manzcorporation@gmail.com</v>
      </c>
      <c r="X100" t="str">
        <f>"MANZ CORPORATION"</f>
        <v>MANZ CORPORATION</v>
      </c>
      <c r="Y100" t="str">
        <f>"ELECTRONIC AND PRECISION EQUIPMENT SERVICES"</f>
        <v>ELECTRONIC AND PRECISION EQUIPMENT SERVICES</v>
      </c>
      <c r="Z100" t="str">
        <f>"P.O. BOX 7134, SVRB, CRISPINA ST."</f>
        <v>P.O. BOX 7134, SVRB, CRISPINA ST.</v>
      </c>
      <c r="AA100" t="str">
        <f>"CHALAN KANOA"</f>
        <v>CHALAN KANOA</v>
      </c>
      <c r="AB100" t="str">
        <f t="shared" si="68"/>
        <v>SAIPAN</v>
      </c>
      <c r="AC100" t="str">
        <f t="shared" si="26"/>
        <v>MP</v>
      </c>
      <c r="AD100" t="str">
        <f t="shared" si="65"/>
        <v>96950</v>
      </c>
      <c r="AE100" t="str">
        <f t="shared" si="27"/>
        <v>UNITED STATES OF AMERICA</v>
      </c>
      <c r="AF100" t="str">
        <f>"MP"</f>
        <v>MP</v>
      </c>
      <c r="AG100" s="4" t="str">
        <f>"16707883138"</f>
        <v>16707883138</v>
      </c>
      <c r="AH100" t="str">
        <f>""</f>
        <v/>
      </c>
      <c r="AI100" t="str">
        <f>"8112"</f>
        <v>8112</v>
      </c>
      <c r="AJ100" t="s">
        <v>79</v>
      </c>
      <c r="AK100" t="s">
        <v>79</v>
      </c>
      <c r="AL100" t="s">
        <v>80</v>
      </c>
      <c r="AM100" t="s">
        <v>79</v>
      </c>
      <c r="AP100" t="str">
        <f>"MAINTENANCE AND REPAIR WORKER"</f>
        <v>MAINTENANCE AND REPAIR WORKER</v>
      </c>
      <c r="AQ100" t="str">
        <f>"49-9071.00"</f>
        <v>49-9071.00</v>
      </c>
      <c r="AR100" t="str">
        <f>"Maintenance and Repair Workers, General"</f>
        <v>Maintenance and Repair Workers, General</v>
      </c>
      <c r="AS100" t="str">
        <f>"MANAGER"</f>
        <v>MANAGER</v>
      </c>
      <c r="AT100" t="s">
        <v>79</v>
      </c>
      <c r="AU100" t="str">
        <f>""</f>
        <v/>
      </c>
      <c r="AV100" t="str">
        <f>""</f>
        <v/>
      </c>
      <c r="AW100" t="s">
        <v>79</v>
      </c>
      <c r="AX100" t="str">
        <f>""</f>
        <v/>
      </c>
      <c r="AY100" t="s">
        <v>84</v>
      </c>
      <c r="BA100" t="s">
        <v>80</v>
      </c>
      <c r="BB100" t="s">
        <v>79</v>
      </c>
      <c r="BD100" t="s">
        <v>79</v>
      </c>
      <c r="BG100" t="s">
        <v>82</v>
      </c>
      <c r="BH100">
        <v>12</v>
      </c>
      <c r="BI100" t="s">
        <v>1221</v>
      </c>
      <c r="BJ100" t="s">
        <v>1465</v>
      </c>
      <c r="BK100" t="str">
        <f>"CRISPINA ST"</f>
        <v>CRISPINA ST</v>
      </c>
      <c r="BL100" t="str">
        <f>"CHALAN KANOA"</f>
        <v>CHALAN KANOA</v>
      </c>
      <c r="BM100" t="str">
        <f t="shared" si="66"/>
        <v>SAIPAN</v>
      </c>
      <c r="BO100" t="s">
        <v>83</v>
      </c>
      <c r="BP100" s="4" t="str">
        <f t="shared" si="67"/>
        <v>96950</v>
      </c>
      <c r="BQ100" t="s">
        <v>79</v>
      </c>
      <c r="BR100" t="str">
        <f>"49-9071.00"</f>
        <v>49-9071.00</v>
      </c>
      <c r="BS100" t="s">
        <v>146</v>
      </c>
      <c r="BT100" s="3">
        <v>9.19</v>
      </c>
      <c r="BU100" t="s">
        <v>80</v>
      </c>
      <c r="BV100" t="s">
        <v>90</v>
      </c>
      <c r="BW100" t="s">
        <v>92</v>
      </c>
      <c r="BZ100" s="1">
        <v>45107</v>
      </c>
    </row>
    <row r="101" spans="1:78" ht="15" customHeight="1" x14ac:dyDescent="0.25">
      <c r="A101" t="s">
        <v>1466</v>
      </c>
      <c r="B101" t="s">
        <v>94</v>
      </c>
      <c r="C101" s="1">
        <v>44870</v>
      </c>
      <c r="D101" s="1">
        <v>44910</v>
      </c>
      <c r="H101" t="s">
        <v>78</v>
      </c>
      <c r="I101" t="str">
        <f>"LEE"</f>
        <v>LEE</v>
      </c>
      <c r="J101" t="str">
        <f>"UNJOO"</f>
        <v>UNJOO</v>
      </c>
      <c r="K101" t="str">
        <f>"N/A"</f>
        <v>N/A</v>
      </c>
      <c r="L101" t="str">
        <f>"SECRETARY"</f>
        <v>SECRETARY</v>
      </c>
      <c r="M101" t="str">
        <f>"P.O. BOX 503392, MIDDLE ROAD"</f>
        <v>P.O. BOX 503392, MIDDLE ROAD</v>
      </c>
      <c r="N101" t="str">
        <f>"CHALAN LAULAU"</f>
        <v>CHALAN LAULAU</v>
      </c>
      <c r="O101" t="str">
        <f t="shared" si="63"/>
        <v>SAIPAN</v>
      </c>
      <c r="P101" t="str">
        <f t="shared" si="47"/>
        <v>MP</v>
      </c>
      <c r="Q101" s="4" t="str">
        <f t="shared" si="64"/>
        <v>96950</v>
      </c>
      <c r="R101" t="str">
        <f t="shared" si="25"/>
        <v>UNITED STATES OF AMERICA</v>
      </c>
      <c r="S101" t="str">
        <f>"MP"</f>
        <v>MP</v>
      </c>
      <c r="T101" s="5" t="str">
        <f>"16702859949"</f>
        <v>16702859949</v>
      </c>
      <c r="U101" t="str">
        <f>""</f>
        <v/>
      </c>
      <c r="V101" s="5" t="str">
        <f>""</f>
        <v/>
      </c>
      <c r="W101" t="str">
        <f>"unicompany@yahoo.com"</f>
        <v>unicompany@yahoo.com</v>
      </c>
      <c r="X101" t="str">
        <f>"UNI COMPANY"</f>
        <v>UNI COMPANY</v>
      </c>
      <c r="Y101" t="str">
        <f>"UNI CATERING SERVICES"</f>
        <v>UNI CATERING SERVICES</v>
      </c>
      <c r="Z101" t="str">
        <f>"P.O. BOX 503392, MIDDLE ROAD"</f>
        <v>P.O. BOX 503392, MIDDLE ROAD</v>
      </c>
      <c r="AA101" t="str">
        <f>"CHALAN LAULAU"</f>
        <v>CHALAN LAULAU</v>
      </c>
      <c r="AB101" t="str">
        <f t="shared" si="68"/>
        <v>SAIPAN</v>
      </c>
      <c r="AC101" t="str">
        <f t="shared" si="26"/>
        <v>MP</v>
      </c>
      <c r="AD101" t="str">
        <f t="shared" si="65"/>
        <v>96950</v>
      </c>
      <c r="AE101" t="str">
        <f t="shared" si="27"/>
        <v>UNITED STATES OF AMERICA</v>
      </c>
      <c r="AF101" t="str">
        <f>"MP"</f>
        <v>MP</v>
      </c>
      <c r="AG101" s="4" t="str">
        <f>"16702859949"</f>
        <v>16702859949</v>
      </c>
      <c r="AH101" t="str">
        <f>""</f>
        <v/>
      </c>
      <c r="AI101" t="str">
        <f>"72232"</f>
        <v>72232</v>
      </c>
      <c r="AJ101" t="s">
        <v>79</v>
      </c>
      <c r="AK101" t="s">
        <v>79</v>
      </c>
      <c r="AL101" t="s">
        <v>80</v>
      </c>
      <c r="AM101" t="s">
        <v>79</v>
      </c>
      <c r="AP101" t="str">
        <f>"COOK"</f>
        <v>COOK</v>
      </c>
      <c r="AQ101" t="str">
        <f>"35-2015.00"</f>
        <v>35-2015.00</v>
      </c>
      <c r="AR101" t="str">
        <f>"Cooks, Short Order"</f>
        <v>Cooks, Short Order</v>
      </c>
      <c r="AS101" t="str">
        <f>"MANAGER"</f>
        <v>MANAGER</v>
      </c>
      <c r="AT101" t="s">
        <v>79</v>
      </c>
      <c r="AU101" t="str">
        <f>""</f>
        <v/>
      </c>
      <c r="AV101" t="str">
        <f>""</f>
        <v/>
      </c>
      <c r="AW101" t="s">
        <v>79</v>
      </c>
      <c r="AX101" t="str">
        <f>""</f>
        <v/>
      </c>
      <c r="AY101" t="s">
        <v>81</v>
      </c>
      <c r="BA101" t="s">
        <v>80</v>
      </c>
      <c r="BB101" t="s">
        <v>79</v>
      </c>
      <c r="BD101" t="s">
        <v>79</v>
      </c>
      <c r="BG101" t="s">
        <v>82</v>
      </c>
      <c r="BH101">
        <v>6</v>
      </c>
      <c r="BI101" t="s">
        <v>285</v>
      </c>
      <c r="BJ101" t="s">
        <v>1467</v>
      </c>
      <c r="BK101" t="str">
        <f>"MIDDLE ROAD"</f>
        <v>MIDDLE ROAD</v>
      </c>
      <c r="BL101" t="str">
        <f>"CHALAN LAULAU"</f>
        <v>CHALAN LAULAU</v>
      </c>
      <c r="BM101" t="str">
        <f t="shared" si="66"/>
        <v>SAIPAN</v>
      </c>
      <c r="BO101" t="s">
        <v>83</v>
      </c>
      <c r="BP101" s="4" t="str">
        <f t="shared" si="67"/>
        <v>96950</v>
      </c>
      <c r="BQ101" t="s">
        <v>79</v>
      </c>
      <c r="BR101" t="str">
        <f>"35-2015.00"</f>
        <v>35-2015.00</v>
      </c>
      <c r="BS101" t="s">
        <v>1165</v>
      </c>
      <c r="BT101" s="3">
        <v>8.76</v>
      </c>
      <c r="BU101" t="s">
        <v>80</v>
      </c>
      <c r="BV101" t="s">
        <v>90</v>
      </c>
      <c r="BW101" t="s">
        <v>92</v>
      </c>
      <c r="BZ101" s="1">
        <v>45107</v>
      </c>
    </row>
    <row r="102" spans="1:78" ht="15" customHeight="1" x14ac:dyDescent="0.25">
      <c r="A102" t="s">
        <v>1468</v>
      </c>
      <c r="B102" t="s">
        <v>94</v>
      </c>
      <c r="C102" s="1">
        <v>44870</v>
      </c>
      <c r="D102" s="1">
        <v>44910</v>
      </c>
      <c r="H102" t="s">
        <v>78</v>
      </c>
      <c r="I102" t="str">
        <f>"JU"</f>
        <v>JU</v>
      </c>
      <c r="J102" t="str">
        <f>"JAE YON"</f>
        <v>JAE YON</v>
      </c>
      <c r="K102" t="str">
        <f>"N/A"</f>
        <v>N/A</v>
      </c>
      <c r="L102" t="str">
        <f>"PRESIDENT"</f>
        <v>PRESIDENT</v>
      </c>
      <c r="M102" t="str">
        <f>"P.O. BOX 502957, BEACH ROAD"</f>
        <v>P.O. BOX 502957, BEACH ROAD</v>
      </c>
      <c r="N102" t="str">
        <f>"SUSUPE VILLAGE"</f>
        <v>SUSUPE VILLAGE</v>
      </c>
      <c r="O102" t="str">
        <f t="shared" si="63"/>
        <v>SAIPAN</v>
      </c>
      <c r="P102" t="str">
        <f t="shared" si="47"/>
        <v>MP</v>
      </c>
      <c r="Q102" s="4" t="str">
        <f t="shared" si="64"/>
        <v>96950</v>
      </c>
      <c r="R102" t="str">
        <f t="shared" si="25"/>
        <v>UNITED STATES OF AMERICA</v>
      </c>
      <c r="S102" t="str">
        <f>"MP"</f>
        <v>MP</v>
      </c>
      <c r="T102" s="5" t="str">
        <f>"16702343929"</f>
        <v>16702343929</v>
      </c>
      <c r="U102" t="str">
        <f>""</f>
        <v/>
      </c>
      <c r="V102" s="5" t="str">
        <f>""</f>
        <v/>
      </c>
      <c r="W102" t="str">
        <f>"chungnamcorp@yahoo.com"</f>
        <v>chungnamcorp@yahoo.com</v>
      </c>
      <c r="X102" t="str">
        <f>"CHUNG NAM CORPORATION"</f>
        <v>CHUNG NAM CORPORATION</v>
      </c>
      <c r="Y102" t="str">
        <f>"UPHOLSTERY"</f>
        <v>UPHOLSTERY</v>
      </c>
      <c r="Z102" t="str">
        <f>"P.O. BOX 502957, BEACH ROAD"</f>
        <v>P.O. BOX 502957, BEACH ROAD</v>
      </c>
      <c r="AA102" t="str">
        <f>"SUSUPE VILLAGE"</f>
        <v>SUSUPE VILLAGE</v>
      </c>
      <c r="AB102" t="str">
        <f t="shared" si="68"/>
        <v>SAIPAN</v>
      </c>
      <c r="AC102" t="str">
        <f t="shared" si="26"/>
        <v>MP</v>
      </c>
      <c r="AD102" t="str">
        <f t="shared" si="65"/>
        <v>96950</v>
      </c>
      <c r="AE102" t="str">
        <f t="shared" si="27"/>
        <v>UNITED STATES OF AMERICA</v>
      </c>
      <c r="AF102" t="str">
        <f>"MP"</f>
        <v>MP</v>
      </c>
      <c r="AG102" s="4" t="str">
        <f>"16702343929"</f>
        <v>16702343929</v>
      </c>
      <c r="AH102" t="str">
        <f>""</f>
        <v/>
      </c>
      <c r="AI102" t="str">
        <f>"81142"</f>
        <v>81142</v>
      </c>
      <c r="AJ102" t="s">
        <v>79</v>
      </c>
      <c r="AK102" t="s">
        <v>79</v>
      </c>
      <c r="AL102" t="s">
        <v>80</v>
      </c>
      <c r="AM102" t="s">
        <v>79</v>
      </c>
      <c r="AP102" t="str">
        <f>"UPHOLSTERER"</f>
        <v>UPHOLSTERER</v>
      </c>
      <c r="AQ102" t="str">
        <f>"51-6093.00"</f>
        <v>51-6093.00</v>
      </c>
      <c r="AR102" t="str">
        <f>"Upholsterers"</f>
        <v>Upholsterers</v>
      </c>
      <c r="AS102" t="str">
        <f>"MANAGER"</f>
        <v>MANAGER</v>
      </c>
      <c r="AT102" t="s">
        <v>79</v>
      </c>
      <c r="AU102" t="str">
        <f>""</f>
        <v/>
      </c>
      <c r="AV102" t="str">
        <f>""</f>
        <v/>
      </c>
      <c r="AW102" t="s">
        <v>79</v>
      </c>
      <c r="AX102" t="str">
        <f>""</f>
        <v/>
      </c>
      <c r="AY102" t="s">
        <v>84</v>
      </c>
      <c r="BA102" t="s">
        <v>80</v>
      </c>
      <c r="BB102" t="s">
        <v>79</v>
      </c>
      <c r="BD102" t="s">
        <v>79</v>
      </c>
      <c r="BG102" t="s">
        <v>82</v>
      </c>
      <c r="BH102">
        <v>12</v>
      </c>
      <c r="BI102" t="s">
        <v>1469</v>
      </c>
      <c r="BJ102" t="s">
        <v>1470</v>
      </c>
      <c r="BK102" t="str">
        <f>"BEACH ROAD"</f>
        <v>BEACH ROAD</v>
      </c>
      <c r="BL102" t="str">
        <f>"SUSUPE VILLAGE"</f>
        <v>SUSUPE VILLAGE</v>
      </c>
      <c r="BM102" t="str">
        <f t="shared" si="66"/>
        <v>SAIPAN</v>
      </c>
      <c r="BO102" t="s">
        <v>83</v>
      </c>
      <c r="BP102" s="4" t="str">
        <f t="shared" si="67"/>
        <v>96950</v>
      </c>
      <c r="BQ102" t="s">
        <v>79</v>
      </c>
      <c r="BR102" t="str">
        <f>"51-6093.00"</f>
        <v>51-6093.00</v>
      </c>
      <c r="BS102" t="s">
        <v>1471</v>
      </c>
      <c r="BT102" s="3">
        <v>8.0299999999999994</v>
      </c>
      <c r="BU102" t="s">
        <v>80</v>
      </c>
      <c r="BV102" t="s">
        <v>90</v>
      </c>
      <c r="BW102" t="s">
        <v>92</v>
      </c>
      <c r="BZ102" s="1">
        <v>45107</v>
      </c>
    </row>
    <row r="103" spans="1:78" ht="15" customHeight="1" x14ac:dyDescent="0.25">
      <c r="A103" t="s">
        <v>1452</v>
      </c>
      <c r="B103" t="s">
        <v>94</v>
      </c>
      <c r="C103" s="1">
        <v>44869</v>
      </c>
      <c r="D103" s="1">
        <v>44910</v>
      </c>
      <c r="H103" t="s">
        <v>78</v>
      </c>
      <c r="I103" t="str">
        <f>"TAN"</f>
        <v>TAN</v>
      </c>
      <c r="J103" t="str">
        <f>"JERRY"</f>
        <v>JERRY</v>
      </c>
      <c r="K103" t="str">
        <f>""</f>
        <v/>
      </c>
      <c r="L103" t="str">
        <f>"PRESIDENT"</f>
        <v>PRESIDENT</v>
      </c>
      <c r="M103" t="str">
        <f>"PMB 338, BOX 10001"</f>
        <v>PMB 338, BOX 10001</v>
      </c>
      <c r="N103" t="str">
        <f>"KOBLERVILLE, SAIPAN"</f>
        <v>KOBLERVILLE, SAIPAN</v>
      </c>
      <c r="O103" t="str">
        <f>"MP"</f>
        <v>MP</v>
      </c>
      <c r="P103" t="str">
        <f t="shared" si="47"/>
        <v>MP</v>
      </c>
      <c r="Q103" s="4" t="str">
        <f t="shared" si="64"/>
        <v>96950</v>
      </c>
      <c r="R103" t="str">
        <f t="shared" si="25"/>
        <v>UNITED STATES OF AMERICA</v>
      </c>
      <c r="S103" t="str">
        <f>""</f>
        <v/>
      </c>
      <c r="T103" s="5" t="str">
        <f>"16702350173"</f>
        <v>16702350173</v>
      </c>
      <c r="U103" t="str">
        <f>""</f>
        <v/>
      </c>
      <c r="V103" s="5" t="str">
        <f>""</f>
        <v/>
      </c>
      <c r="W103" t="str">
        <f>"playsoccer@nmifa.com"</f>
        <v>playsoccer@nmifa.com</v>
      </c>
      <c r="X103" t="str">
        <f>"Northern Mariana Islands Football Association"</f>
        <v>Northern Mariana Islands Football Association</v>
      </c>
      <c r="Y103" t="str">
        <f>""</f>
        <v/>
      </c>
      <c r="Z103" t="str">
        <f>"4627 As Gonno Road"</f>
        <v>4627 As Gonno Road</v>
      </c>
      <c r="AA103" t="str">
        <f>"PMB"</f>
        <v>PMB</v>
      </c>
      <c r="AB103" t="str">
        <f>"Saipan"</f>
        <v>Saipan</v>
      </c>
      <c r="AC103" t="str">
        <f t="shared" si="26"/>
        <v>MP</v>
      </c>
      <c r="AD103" t="str">
        <f t="shared" si="65"/>
        <v>96950</v>
      </c>
      <c r="AE103" t="str">
        <f t="shared" si="27"/>
        <v>UNITED STATES OF AMERICA</v>
      </c>
      <c r="AF103" t="str">
        <f>""</f>
        <v/>
      </c>
      <c r="AG103" s="4" t="str">
        <f>"16702350173"</f>
        <v>16702350173</v>
      </c>
      <c r="AH103" t="str">
        <f>""</f>
        <v/>
      </c>
      <c r="AI103" t="str">
        <f>"711211"</f>
        <v>711211</v>
      </c>
      <c r="AJ103" t="s">
        <v>79</v>
      </c>
      <c r="AK103" t="s">
        <v>79</v>
      </c>
      <c r="AL103" t="s">
        <v>80</v>
      </c>
      <c r="AM103" t="s">
        <v>79</v>
      </c>
      <c r="AP103" t="str">
        <f>"RECREATIONAL THERAPIST"</f>
        <v>RECREATIONAL THERAPIST</v>
      </c>
      <c r="AQ103" t="str">
        <f>"29-1125.00"</f>
        <v>29-1125.00</v>
      </c>
      <c r="AR103" t="str">
        <f>"Recreational Therapists"</f>
        <v>Recreational Therapists</v>
      </c>
      <c r="AS103" t="str">
        <f>"GENERAL SECRETARY/EXECUTIVE DIRECTOR"</f>
        <v>GENERAL SECRETARY/EXECUTIVE DIRECTOR</v>
      </c>
      <c r="AT103" t="s">
        <v>79</v>
      </c>
      <c r="AU103" t="str">
        <f>""</f>
        <v/>
      </c>
      <c r="AV103" t="str">
        <f>""</f>
        <v/>
      </c>
      <c r="AW103" t="s">
        <v>82</v>
      </c>
      <c r="AX103" t="s">
        <v>1453</v>
      </c>
      <c r="AY103" t="s">
        <v>95</v>
      </c>
      <c r="BA103" t="s">
        <v>1454</v>
      </c>
      <c r="BB103" t="s">
        <v>79</v>
      </c>
      <c r="BD103" t="s">
        <v>82</v>
      </c>
      <c r="BE103">
        <v>12</v>
      </c>
      <c r="BF103" t="s">
        <v>1455</v>
      </c>
      <c r="BG103" t="s">
        <v>82</v>
      </c>
      <c r="BH103">
        <v>24</v>
      </c>
      <c r="BI103" t="s">
        <v>1456</v>
      </c>
      <c r="BJ103" t="s">
        <v>1457</v>
      </c>
      <c r="BK103" t="str">
        <f>"NMI  SOCCER TRAINING CENTER, 4627 AS GONNO ROAD, KOBLERVILLE"</f>
        <v>NMI  SOCCER TRAINING CENTER, 4627 AS GONNO ROAD, KOBLERVILLE</v>
      </c>
      <c r="BL103" t="str">
        <f>"PMB 338, Box 10001"</f>
        <v>PMB 338, Box 10001</v>
      </c>
      <c r="BM103" t="str">
        <f>"Saipan"</f>
        <v>Saipan</v>
      </c>
      <c r="BO103" t="s">
        <v>83</v>
      </c>
      <c r="BP103" s="4" t="str">
        <f t="shared" si="67"/>
        <v>96950</v>
      </c>
      <c r="BQ103" t="s">
        <v>79</v>
      </c>
      <c r="BR103" t="str">
        <f>"29-1125.00"</f>
        <v>29-1125.00</v>
      </c>
      <c r="BS103" t="s">
        <v>357</v>
      </c>
      <c r="BT103" s="3">
        <v>17.62</v>
      </c>
      <c r="BU103" t="s">
        <v>80</v>
      </c>
      <c r="BV103" t="s">
        <v>90</v>
      </c>
      <c r="BW103" t="s">
        <v>265</v>
      </c>
      <c r="BZ103" s="1">
        <v>45107</v>
      </c>
    </row>
    <row r="104" spans="1:78" ht="15" customHeight="1" x14ac:dyDescent="0.25">
      <c r="A104" t="s">
        <v>1458</v>
      </c>
      <c r="B104" t="s">
        <v>94</v>
      </c>
      <c r="C104" s="1">
        <v>44869</v>
      </c>
      <c r="D104" s="1">
        <v>44910</v>
      </c>
      <c r="H104" t="s">
        <v>78</v>
      </c>
      <c r="I104" t="str">
        <f>"HALL"</f>
        <v>HALL</v>
      </c>
      <c r="J104" t="str">
        <f>"MICHAEL"</f>
        <v>MICHAEL</v>
      </c>
      <c r="K104" t="str">
        <f>"ESTES"</f>
        <v>ESTES</v>
      </c>
      <c r="L104" t="str">
        <f>"OWNER/DENTIST"</f>
        <v>OWNER/DENTIST</v>
      </c>
      <c r="M104" t="str">
        <f>"Microbeach Road, Garapan"</f>
        <v>Microbeach Road, Garapan</v>
      </c>
      <c r="N104" t="str">
        <f>""</f>
        <v/>
      </c>
      <c r="O104" t="str">
        <f>"Saipan"</f>
        <v>Saipan</v>
      </c>
      <c r="P104" t="str">
        <f t="shared" si="47"/>
        <v>MP</v>
      </c>
      <c r="Q104" s="4" t="str">
        <f t="shared" si="64"/>
        <v>96950</v>
      </c>
      <c r="R104" t="str">
        <f t="shared" si="25"/>
        <v>UNITED STATES OF AMERICA</v>
      </c>
      <c r="S104" t="str">
        <f>""</f>
        <v/>
      </c>
      <c r="T104" s="5" t="str">
        <f>"16702333300"</f>
        <v>16702333300</v>
      </c>
      <c r="U104" t="str">
        <f>""</f>
        <v/>
      </c>
      <c r="V104" s="5" t="str">
        <f>""</f>
        <v/>
      </c>
      <c r="W104" t="str">
        <f>"newwavedentalsaipan@hotmail.com"</f>
        <v>newwavedentalsaipan@hotmail.com</v>
      </c>
      <c r="X104" t="str">
        <f>"Dr. Michael Hall"</f>
        <v>Dr. Michael Hall</v>
      </c>
      <c r="Y104" t="str">
        <f>"New Wave Dental"</f>
        <v>New Wave Dental</v>
      </c>
      <c r="Z104" t="str">
        <f>"Microbeach Road, Garapan"</f>
        <v>Microbeach Road, Garapan</v>
      </c>
      <c r="AA104" t="str">
        <f>""</f>
        <v/>
      </c>
      <c r="AB104" t="str">
        <f>"Saipan"</f>
        <v>Saipan</v>
      </c>
      <c r="AC104" t="str">
        <f t="shared" si="26"/>
        <v>MP</v>
      </c>
      <c r="AD104" t="str">
        <f t="shared" si="65"/>
        <v>96950</v>
      </c>
      <c r="AE104" t="str">
        <f t="shared" si="27"/>
        <v>UNITED STATES OF AMERICA</v>
      </c>
      <c r="AF104" t="str">
        <f>""</f>
        <v/>
      </c>
      <c r="AG104" s="4" t="str">
        <f>"16702333300"</f>
        <v>16702333300</v>
      </c>
      <c r="AH104" t="str">
        <f>""</f>
        <v/>
      </c>
      <c r="AI104" t="str">
        <f>"621210"</f>
        <v>621210</v>
      </c>
      <c r="AJ104" t="s">
        <v>79</v>
      </c>
      <c r="AK104" t="s">
        <v>79</v>
      </c>
      <c r="AL104" t="s">
        <v>80</v>
      </c>
      <c r="AM104" t="s">
        <v>79</v>
      </c>
      <c r="AP104" t="str">
        <f>"Dental Assistant"</f>
        <v>Dental Assistant</v>
      </c>
      <c r="AQ104" t="str">
        <f>"31-9091.00"</f>
        <v>31-9091.00</v>
      </c>
      <c r="AR104" t="str">
        <f>"Dental Assistants"</f>
        <v>Dental Assistants</v>
      </c>
      <c r="AS104" t="str">
        <f>"none"</f>
        <v>none</v>
      </c>
      <c r="AT104" t="s">
        <v>79</v>
      </c>
      <c r="AU104" t="str">
        <f>""</f>
        <v/>
      </c>
      <c r="AV104" t="str">
        <f>""</f>
        <v/>
      </c>
      <c r="AW104" t="s">
        <v>79</v>
      </c>
      <c r="AX104" t="str">
        <f>""</f>
        <v/>
      </c>
      <c r="AY104" t="s">
        <v>124</v>
      </c>
      <c r="BA104" t="s">
        <v>1459</v>
      </c>
      <c r="BB104" t="s">
        <v>79</v>
      </c>
      <c r="BD104" t="s">
        <v>79</v>
      </c>
      <c r="BG104" t="s">
        <v>82</v>
      </c>
      <c r="BH104">
        <v>12</v>
      </c>
      <c r="BI104" t="s">
        <v>1460</v>
      </c>
      <c r="BJ104" t="s">
        <v>1461</v>
      </c>
      <c r="BK104" t="str">
        <f>"Microbeach Road, Garapan"</f>
        <v>Microbeach Road, Garapan</v>
      </c>
      <c r="BL104" t="str">
        <f>""</f>
        <v/>
      </c>
      <c r="BM104" t="str">
        <f>"Saipan"</f>
        <v>Saipan</v>
      </c>
      <c r="BO104" t="s">
        <v>83</v>
      </c>
      <c r="BP104" s="4" t="str">
        <f t="shared" si="67"/>
        <v>96950</v>
      </c>
      <c r="BQ104" t="s">
        <v>79</v>
      </c>
      <c r="BR104" t="str">
        <f>"31-9091.00"</f>
        <v>31-9091.00</v>
      </c>
      <c r="BS104" t="s">
        <v>1332</v>
      </c>
      <c r="BT104" s="3">
        <v>11.46</v>
      </c>
      <c r="BU104" t="s">
        <v>80</v>
      </c>
      <c r="BV104" t="s">
        <v>90</v>
      </c>
      <c r="BW104" t="s">
        <v>92</v>
      </c>
      <c r="BZ104" s="1">
        <v>45107</v>
      </c>
    </row>
    <row r="105" spans="1:78" ht="15" customHeight="1" x14ac:dyDescent="0.25">
      <c r="A105" t="s">
        <v>1438</v>
      </c>
      <c r="B105" t="s">
        <v>94</v>
      </c>
      <c r="C105" s="1">
        <v>44868</v>
      </c>
      <c r="D105" s="1">
        <v>44910</v>
      </c>
      <c r="H105" t="s">
        <v>78</v>
      </c>
      <c r="I105" t="str">
        <f>"NELSON"</f>
        <v>NELSON</v>
      </c>
      <c r="J105" t="str">
        <f>"CHRISTOPHER"</f>
        <v>CHRISTOPHER</v>
      </c>
      <c r="K105" t="str">
        <f>"JON"</f>
        <v>JON</v>
      </c>
      <c r="L105" t="str">
        <f>"President"</f>
        <v>President</v>
      </c>
      <c r="M105" t="str">
        <f>"PMB 616 Box 10000"</f>
        <v>PMB 616 Box 10000</v>
      </c>
      <c r="N105" t="str">
        <f>""</f>
        <v/>
      </c>
      <c r="O105" t="str">
        <f>"Saipan"</f>
        <v>Saipan</v>
      </c>
      <c r="P105" t="str">
        <f t="shared" si="47"/>
        <v>MP</v>
      </c>
      <c r="Q105" s="4" t="str">
        <f t="shared" si="64"/>
        <v>96950</v>
      </c>
      <c r="R105" t="str">
        <f t="shared" si="25"/>
        <v>UNITED STATES OF AMERICA</v>
      </c>
      <c r="S105" t="str">
        <f>""</f>
        <v/>
      </c>
      <c r="T105" s="5" t="str">
        <f>"16702877761"</f>
        <v>16702877761</v>
      </c>
      <c r="U105" t="str">
        <f>""</f>
        <v/>
      </c>
      <c r="V105" s="5" t="str">
        <f>""</f>
        <v/>
      </c>
      <c r="W105" t="str">
        <f>"chris@marianastrekking.com"</f>
        <v>chris@marianastrekking.com</v>
      </c>
      <c r="X105" t="str">
        <f>"Marianas Trekking LLC"</f>
        <v>Marianas Trekking LLC</v>
      </c>
      <c r="Y105" t="str">
        <f>"Marianas Trekking LLC"</f>
        <v>Marianas Trekking LLC</v>
      </c>
      <c r="Z105" t="str">
        <f>"PMB 616 PPP BOX 10000"</f>
        <v>PMB 616 PPP BOX 10000</v>
      </c>
      <c r="AA105" t="str">
        <f>""</f>
        <v/>
      </c>
      <c r="AB105" t="str">
        <f>"SAIPAN"</f>
        <v>SAIPAN</v>
      </c>
      <c r="AC105" t="str">
        <f t="shared" si="26"/>
        <v>MP</v>
      </c>
      <c r="AD105" t="str">
        <f t="shared" si="65"/>
        <v>96950</v>
      </c>
      <c r="AE105" t="str">
        <f t="shared" si="27"/>
        <v>UNITED STATES OF AMERICA</v>
      </c>
      <c r="AF105" t="str">
        <f>""</f>
        <v/>
      </c>
      <c r="AG105" s="4" t="str">
        <f>"16703238735"</f>
        <v>16703238735</v>
      </c>
      <c r="AH105" t="str">
        <f>""</f>
        <v/>
      </c>
      <c r="AI105" t="str">
        <f>"71399"</f>
        <v>71399</v>
      </c>
      <c r="AJ105" t="s">
        <v>79</v>
      </c>
      <c r="AK105" t="s">
        <v>79</v>
      </c>
      <c r="AL105" t="s">
        <v>80</v>
      </c>
      <c r="AM105" t="s">
        <v>79</v>
      </c>
      <c r="AP105" t="str">
        <f>"Automotive Service Technicians and Mechanics"</f>
        <v>Automotive Service Technicians and Mechanics</v>
      </c>
      <c r="AQ105" t="str">
        <f>"49-3023.00"</f>
        <v>49-3023.00</v>
      </c>
      <c r="AR105" t="str">
        <f>"Automotive Service Technicians and Mechanics"</f>
        <v>Automotive Service Technicians and Mechanics</v>
      </c>
      <c r="AS105" t="str">
        <f>"n/a"</f>
        <v>n/a</v>
      </c>
      <c r="AT105" t="s">
        <v>79</v>
      </c>
      <c r="AU105" t="str">
        <f>""</f>
        <v/>
      </c>
      <c r="AV105" t="str">
        <f>""</f>
        <v/>
      </c>
      <c r="AW105" t="s">
        <v>79</v>
      </c>
      <c r="AX105" t="str">
        <f>""</f>
        <v/>
      </c>
      <c r="AY105" t="s">
        <v>84</v>
      </c>
      <c r="BA105" t="s">
        <v>119</v>
      </c>
      <c r="BB105" t="s">
        <v>79</v>
      </c>
      <c r="BD105" t="s">
        <v>79</v>
      </c>
      <c r="BG105" t="s">
        <v>82</v>
      </c>
      <c r="BH105">
        <v>24</v>
      </c>
      <c r="BI105" t="s">
        <v>1439</v>
      </c>
      <c r="BJ105" t="s">
        <v>1440</v>
      </c>
      <c r="BK105" t="str">
        <f>"Chalan Pale Arnold"</f>
        <v>Chalan Pale Arnold</v>
      </c>
      <c r="BL105" t="str">
        <f>"Marpi"</f>
        <v>Marpi</v>
      </c>
      <c r="BM105" t="str">
        <f>"Saipan"</f>
        <v>Saipan</v>
      </c>
      <c r="BO105" t="s">
        <v>83</v>
      </c>
      <c r="BP105" s="4" t="str">
        <f t="shared" si="67"/>
        <v>96950</v>
      </c>
      <c r="BQ105" t="s">
        <v>79</v>
      </c>
      <c r="BR105" t="str">
        <f>"49-3023.00"</f>
        <v>49-3023.00</v>
      </c>
      <c r="BS105" t="s">
        <v>269</v>
      </c>
      <c r="BT105" s="3">
        <v>9.93</v>
      </c>
      <c r="BU105" t="s">
        <v>80</v>
      </c>
      <c r="BV105" t="s">
        <v>90</v>
      </c>
      <c r="BW105" t="s">
        <v>92</v>
      </c>
      <c r="BZ105" s="1">
        <v>45107</v>
      </c>
    </row>
    <row r="106" spans="1:78" ht="15" customHeight="1" x14ac:dyDescent="0.25">
      <c r="A106" t="s">
        <v>1443</v>
      </c>
      <c r="B106" t="s">
        <v>94</v>
      </c>
      <c r="C106" s="1">
        <v>44868</v>
      </c>
      <c r="D106" s="1">
        <v>44910</v>
      </c>
      <c r="H106" t="s">
        <v>78</v>
      </c>
      <c r="I106" t="str">
        <f>"MASILUNGAN"</f>
        <v>MASILUNGAN</v>
      </c>
      <c r="J106" t="str">
        <f>"MARCELO"</f>
        <v>MARCELO</v>
      </c>
      <c r="K106" t="str">
        <f>"VILLEGAS"</f>
        <v>VILLEGAS</v>
      </c>
      <c r="L106" t="str">
        <f>"PRESIDENT"</f>
        <v>PRESIDENT</v>
      </c>
      <c r="M106" t="str">
        <f>"Asusena Avenue, Garapan Village"</f>
        <v>Asusena Avenue, Garapan Village</v>
      </c>
      <c r="N106" t="str">
        <f>""</f>
        <v/>
      </c>
      <c r="O106" t="str">
        <f>"Saipan"</f>
        <v>Saipan</v>
      </c>
      <c r="P106" t="str">
        <f t="shared" si="47"/>
        <v>MP</v>
      </c>
      <c r="Q106" s="4" t="str">
        <f t="shared" si="64"/>
        <v>96950</v>
      </c>
      <c r="R106" t="str">
        <f t="shared" si="25"/>
        <v>UNITED STATES OF AMERICA</v>
      </c>
      <c r="S106" t="str">
        <f>""</f>
        <v/>
      </c>
      <c r="T106" s="5" t="str">
        <f>"16702339442"</f>
        <v>16702339442</v>
      </c>
      <c r="U106" t="str">
        <f>""</f>
        <v/>
      </c>
      <c r="V106" s="5" t="str">
        <f>""</f>
        <v/>
      </c>
      <c r="W106" t="str">
        <f>"supertech@supertechsaipan.com"</f>
        <v>supertech@supertechsaipan.com</v>
      </c>
      <c r="X106" t="str">
        <f>"SUPERTECH, INC."</f>
        <v>SUPERTECH, INC.</v>
      </c>
      <c r="Y106" t="str">
        <f>"WHITE COCONUT COMPUTER SERVICES"</f>
        <v>WHITE COCONUT COMPUTER SERVICES</v>
      </c>
      <c r="Z106" t="str">
        <f>"Asusena Avenue, Garapan Village"</f>
        <v>Asusena Avenue, Garapan Village</v>
      </c>
      <c r="AA106" t="str">
        <f>""</f>
        <v/>
      </c>
      <c r="AB106" t="str">
        <f>"Saipan"</f>
        <v>Saipan</v>
      </c>
      <c r="AC106" t="str">
        <f t="shared" si="26"/>
        <v>MP</v>
      </c>
      <c r="AD106" t="str">
        <f t="shared" si="65"/>
        <v>96950</v>
      </c>
      <c r="AE106" t="str">
        <f t="shared" si="27"/>
        <v>UNITED STATES OF AMERICA</v>
      </c>
      <c r="AF106" t="str">
        <f>""</f>
        <v/>
      </c>
      <c r="AG106" s="4" t="str">
        <f>"16702339442"</f>
        <v>16702339442</v>
      </c>
      <c r="AH106" t="str">
        <f>""</f>
        <v/>
      </c>
      <c r="AI106" t="str">
        <f>"443142"</f>
        <v>443142</v>
      </c>
      <c r="AJ106" t="s">
        <v>79</v>
      </c>
      <c r="AK106" t="s">
        <v>79</v>
      </c>
      <c r="AL106" t="s">
        <v>80</v>
      </c>
      <c r="AM106" t="s">
        <v>79</v>
      </c>
      <c r="AP106" t="str">
        <f>"ACCOUNTANT"</f>
        <v>ACCOUNTANT</v>
      </c>
      <c r="AQ106" t="str">
        <f>"13-2011.00"</f>
        <v>13-2011.00</v>
      </c>
      <c r="AR106" t="str">
        <f>"Accountants and Auditors"</f>
        <v>Accountants and Auditors</v>
      </c>
      <c r="AS106" t="str">
        <f>"N/A"</f>
        <v>N/A</v>
      </c>
      <c r="AT106" t="s">
        <v>79</v>
      </c>
      <c r="AU106" t="str">
        <f>""</f>
        <v/>
      </c>
      <c r="AV106" t="str">
        <f>""</f>
        <v/>
      </c>
      <c r="AW106" t="s">
        <v>79</v>
      </c>
      <c r="AX106" t="str">
        <f>""</f>
        <v/>
      </c>
      <c r="AY106" t="s">
        <v>95</v>
      </c>
      <c r="BA106" t="s">
        <v>130</v>
      </c>
      <c r="BB106" t="s">
        <v>79</v>
      </c>
      <c r="BD106" t="s">
        <v>79</v>
      </c>
      <c r="BG106" t="s">
        <v>82</v>
      </c>
      <c r="BH106">
        <v>48</v>
      </c>
      <c r="BI106" t="s">
        <v>131</v>
      </c>
      <c r="BJ106" t="s">
        <v>1444</v>
      </c>
      <c r="BK106" t="str">
        <f>"Asusena Avenue, Garapan Village"</f>
        <v>Asusena Avenue, Garapan Village</v>
      </c>
      <c r="BL106" t="str">
        <f>""</f>
        <v/>
      </c>
      <c r="BM106" t="str">
        <f>"Saipan"</f>
        <v>Saipan</v>
      </c>
      <c r="BO106" t="s">
        <v>83</v>
      </c>
      <c r="BP106" s="4" t="str">
        <f t="shared" si="67"/>
        <v>96950</v>
      </c>
      <c r="BQ106" t="s">
        <v>79</v>
      </c>
      <c r="BR106" t="str">
        <f>"13-2011.00"</f>
        <v>13-2011.00</v>
      </c>
      <c r="BS106" t="s">
        <v>133</v>
      </c>
      <c r="BT106" s="3">
        <v>16.190000000000001</v>
      </c>
      <c r="BU106" t="s">
        <v>80</v>
      </c>
      <c r="BV106" t="s">
        <v>90</v>
      </c>
      <c r="BW106" t="s">
        <v>92</v>
      </c>
      <c r="BZ106" s="1">
        <v>45107</v>
      </c>
    </row>
    <row r="107" spans="1:78" ht="15" customHeight="1" x14ac:dyDescent="0.25">
      <c r="A107" t="s">
        <v>1445</v>
      </c>
      <c r="B107" t="s">
        <v>94</v>
      </c>
      <c r="C107" s="1">
        <v>44868</v>
      </c>
      <c r="D107" s="1">
        <v>44910</v>
      </c>
      <c r="H107" t="s">
        <v>78</v>
      </c>
      <c r="I107" t="str">
        <f>"MASILUNGAN"</f>
        <v>MASILUNGAN</v>
      </c>
      <c r="J107" t="str">
        <f>"MARCELO"</f>
        <v>MARCELO</v>
      </c>
      <c r="K107" t="str">
        <f>"VILLEGAS"</f>
        <v>VILLEGAS</v>
      </c>
      <c r="L107" t="str">
        <f>"PRESIDENT"</f>
        <v>PRESIDENT</v>
      </c>
      <c r="M107" t="str">
        <f>"Asusena Avenue, Garapan Village"</f>
        <v>Asusena Avenue, Garapan Village</v>
      </c>
      <c r="N107" t="str">
        <f>""</f>
        <v/>
      </c>
      <c r="O107" t="str">
        <f>"Saipan"</f>
        <v>Saipan</v>
      </c>
      <c r="P107" t="str">
        <f t="shared" si="47"/>
        <v>MP</v>
      </c>
      <c r="Q107" s="4" t="str">
        <f t="shared" si="64"/>
        <v>96950</v>
      </c>
      <c r="R107" t="str">
        <f t="shared" si="25"/>
        <v>UNITED STATES OF AMERICA</v>
      </c>
      <c r="S107" t="str">
        <f>""</f>
        <v/>
      </c>
      <c r="T107" s="5" t="str">
        <f>"16702339442"</f>
        <v>16702339442</v>
      </c>
      <c r="U107" t="str">
        <f>""</f>
        <v/>
      </c>
      <c r="V107" s="5" t="str">
        <f>""</f>
        <v/>
      </c>
      <c r="W107" t="str">
        <f>"supertech@supertechsaipan.com"</f>
        <v>supertech@supertechsaipan.com</v>
      </c>
      <c r="X107" t="str">
        <f>"SUPERTECH, INC."</f>
        <v>SUPERTECH, INC.</v>
      </c>
      <c r="Y107" t="str">
        <f>"WHITE COCONUT COMPUTER SERVICES"</f>
        <v>WHITE COCONUT COMPUTER SERVICES</v>
      </c>
      <c r="Z107" t="str">
        <f>"Asusena Avenue, Garapan Village"</f>
        <v>Asusena Avenue, Garapan Village</v>
      </c>
      <c r="AA107" t="str">
        <f>""</f>
        <v/>
      </c>
      <c r="AB107" t="str">
        <f>"Saipan"</f>
        <v>Saipan</v>
      </c>
      <c r="AC107" t="str">
        <f t="shared" si="26"/>
        <v>MP</v>
      </c>
      <c r="AD107" t="str">
        <f t="shared" si="65"/>
        <v>96950</v>
      </c>
      <c r="AE107" t="str">
        <f t="shared" si="27"/>
        <v>UNITED STATES OF AMERICA</v>
      </c>
      <c r="AF107" t="str">
        <f>""</f>
        <v/>
      </c>
      <c r="AG107" s="4" t="str">
        <f>"16702339442"</f>
        <v>16702339442</v>
      </c>
      <c r="AH107" t="str">
        <f>""</f>
        <v/>
      </c>
      <c r="AI107" t="str">
        <f>"443142"</f>
        <v>443142</v>
      </c>
      <c r="AJ107" t="s">
        <v>79</v>
      </c>
      <c r="AK107" t="s">
        <v>79</v>
      </c>
      <c r="AL107" t="s">
        <v>80</v>
      </c>
      <c r="AM107" t="s">
        <v>79</v>
      </c>
      <c r="AP107" t="str">
        <f>"ACCOUNTING ASSISTANT"</f>
        <v>ACCOUNTING ASSISTANT</v>
      </c>
      <c r="AQ107" t="str">
        <f>"43-3031.00"</f>
        <v>43-3031.00</v>
      </c>
      <c r="AR107" t="str">
        <f>"Bookkeeping, Accounting, and Auditing Clerks"</f>
        <v>Bookkeeping, Accounting, and Auditing Clerks</v>
      </c>
      <c r="AS107" t="str">
        <f>"Accountant"</f>
        <v>Accountant</v>
      </c>
      <c r="AT107" t="s">
        <v>79</v>
      </c>
      <c r="AU107" t="str">
        <f>""</f>
        <v/>
      </c>
      <c r="AV107" t="str">
        <f>""</f>
        <v/>
      </c>
      <c r="AW107" t="s">
        <v>79</v>
      </c>
      <c r="AX107" t="str">
        <f>""</f>
        <v/>
      </c>
      <c r="AY107" t="s">
        <v>124</v>
      </c>
      <c r="BA107" t="s">
        <v>130</v>
      </c>
      <c r="BB107" t="s">
        <v>79</v>
      </c>
      <c r="BD107" t="s">
        <v>79</v>
      </c>
      <c r="BG107" t="s">
        <v>82</v>
      </c>
      <c r="BH107">
        <v>24</v>
      </c>
      <c r="BI107" t="s">
        <v>1446</v>
      </c>
      <c r="BJ107" t="s">
        <v>1447</v>
      </c>
      <c r="BK107" t="str">
        <f>"Asusena Avenue, Garapan Village"</f>
        <v>Asusena Avenue, Garapan Village</v>
      </c>
      <c r="BL107" t="str">
        <f>""</f>
        <v/>
      </c>
      <c r="BM107" t="str">
        <f>"Saipan"</f>
        <v>Saipan</v>
      </c>
      <c r="BO107" t="s">
        <v>83</v>
      </c>
      <c r="BP107" s="4" t="str">
        <f t="shared" si="67"/>
        <v>96950</v>
      </c>
      <c r="BQ107" t="s">
        <v>79</v>
      </c>
      <c r="BR107" t="str">
        <f>"43-3031.00"</f>
        <v>43-3031.00</v>
      </c>
      <c r="BS107" t="s">
        <v>142</v>
      </c>
      <c r="BT107" s="3">
        <v>11.21</v>
      </c>
      <c r="BU107" t="s">
        <v>80</v>
      </c>
      <c r="BV107" t="s">
        <v>90</v>
      </c>
      <c r="BW107" t="s">
        <v>92</v>
      </c>
      <c r="BZ107" s="1">
        <v>45107</v>
      </c>
    </row>
    <row r="108" spans="1:78" ht="15" customHeight="1" x14ac:dyDescent="0.25">
      <c r="A108" t="s">
        <v>1448</v>
      </c>
      <c r="B108" t="s">
        <v>94</v>
      </c>
      <c r="C108" s="1">
        <v>44868</v>
      </c>
      <c r="D108" s="1">
        <v>44910</v>
      </c>
      <c r="H108" t="s">
        <v>78</v>
      </c>
      <c r="I108" t="str">
        <f>"CASTRO"</f>
        <v>CASTRO</v>
      </c>
      <c r="J108" t="str">
        <f>"GREGORIO"</f>
        <v>GREGORIO</v>
      </c>
      <c r="K108" t="str">
        <f>"QUICHOCHO"</f>
        <v>QUICHOCHO</v>
      </c>
      <c r="L108" t="str">
        <f>"PRESIDENT/CEO"</f>
        <v>PRESIDENT/CEO</v>
      </c>
      <c r="M108" t="str">
        <f>"P.O. BOX 502713"</f>
        <v>P.O. BOX 502713</v>
      </c>
      <c r="N108" t="str">
        <f>"2ND FLOOR TUN KIKU BUILDING GARAPAN"</f>
        <v>2ND FLOOR TUN KIKU BUILDING GARAPAN</v>
      </c>
      <c r="O108" t="str">
        <f>"SAIPAN"</f>
        <v>SAIPAN</v>
      </c>
      <c r="P108" t="str">
        <f t="shared" si="47"/>
        <v>MP</v>
      </c>
      <c r="Q108" s="4" t="str">
        <f t="shared" si="64"/>
        <v>96950</v>
      </c>
      <c r="R108" t="str">
        <f t="shared" si="25"/>
        <v>UNITED STATES OF AMERICA</v>
      </c>
      <c r="S108" t="str">
        <f>""</f>
        <v/>
      </c>
      <c r="T108" s="5" t="str">
        <f>"16702337770"</f>
        <v>16702337770</v>
      </c>
      <c r="U108" t="str">
        <f>""</f>
        <v/>
      </c>
      <c r="V108" s="5" t="str">
        <f>""</f>
        <v/>
      </c>
      <c r="W108" t="str">
        <f>"matheresacruz@yahoo.com"</f>
        <v>matheresacruz@yahoo.com</v>
      </c>
      <c r="X108" t="str">
        <f>"PEGS,LLC"</f>
        <v>PEGS,LLC</v>
      </c>
      <c r="Y108" t="str">
        <f>"PEGS,LLC"</f>
        <v>PEGS,LLC</v>
      </c>
      <c r="Z108" t="str">
        <f>"P.O. BOX 502713"</f>
        <v>P.O. BOX 502713</v>
      </c>
      <c r="AA108" t="str">
        <f>"2ND FLOOR TUN KIKU BUILDING ,GARAPAN"</f>
        <v>2ND FLOOR TUN KIKU BUILDING ,GARAPAN</v>
      </c>
      <c r="AB108" t="str">
        <f>"SAIPAN"</f>
        <v>SAIPAN</v>
      </c>
      <c r="AC108" t="str">
        <f t="shared" si="26"/>
        <v>MP</v>
      </c>
      <c r="AD108" t="str">
        <f t="shared" si="65"/>
        <v>96950</v>
      </c>
      <c r="AE108" t="str">
        <f t="shared" si="27"/>
        <v>UNITED STATES OF AMERICA</v>
      </c>
      <c r="AF108" t="str">
        <f>""</f>
        <v/>
      </c>
      <c r="AG108" s="4" t="str">
        <f>"16702337770"</f>
        <v>16702337770</v>
      </c>
      <c r="AH108" t="str">
        <f>""</f>
        <v/>
      </c>
      <c r="AI108" t="str">
        <f>"5413"</f>
        <v>5413</v>
      </c>
      <c r="AJ108" t="s">
        <v>79</v>
      </c>
      <c r="AK108" t="s">
        <v>79</v>
      </c>
      <c r="AL108" t="s">
        <v>80</v>
      </c>
      <c r="AM108" t="s">
        <v>79</v>
      </c>
      <c r="AP108" t="str">
        <f>"CONSTRUCTION MANAGER"</f>
        <v>CONSTRUCTION MANAGER</v>
      </c>
      <c r="AQ108" t="str">
        <f>"11-9021.00"</f>
        <v>11-9021.00</v>
      </c>
      <c r="AR108" t="str">
        <f>"Construction Managers"</f>
        <v>Construction Managers</v>
      </c>
      <c r="AS108" t="str">
        <f>"NONE"</f>
        <v>NONE</v>
      </c>
      <c r="AT108" t="s">
        <v>79</v>
      </c>
      <c r="AU108" t="str">
        <f>""</f>
        <v/>
      </c>
      <c r="AV108" t="str">
        <f>""</f>
        <v/>
      </c>
      <c r="AW108" t="s">
        <v>79</v>
      </c>
      <c r="AX108" t="str">
        <f>""</f>
        <v/>
      </c>
      <c r="AY108" t="s">
        <v>124</v>
      </c>
      <c r="BA108" t="s">
        <v>80</v>
      </c>
      <c r="BB108" t="s">
        <v>79</v>
      </c>
      <c r="BD108" t="s">
        <v>79</v>
      </c>
      <c r="BG108" t="s">
        <v>82</v>
      </c>
      <c r="BH108">
        <v>24</v>
      </c>
      <c r="BI108" t="s">
        <v>1449</v>
      </c>
      <c r="BJ108" t="s">
        <v>1450</v>
      </c>
      <c r="BK108" t="str">
        <f>"P.O. BOX 502713 "</f>
        <v xml:space="preserve">P.O. BOX 502713 </v>
      </c>
      <c r="BL108" t="str">
        <f>"2ND FLOOR TUN KIKU BUILDING GARAPAN"</f>
        <v>2ND FLOOR TUN KIKU BUILDING GARAPAN</v>
      </c>
      <c r="BM108" t="str">
        <f>"SAIPAN"</f>
        <v>SAIPAN</v>
      </c>
      <c r="BO108" t="s">
        <v>83</v>
      </c>
      <c r="BP108" s="4" t="str">
        <f t="shared" si="67"/>
        <v>96950</v>
      </c>
      <c r="BQ108" t="s">
        <v>79</v>
      </c>
      <c r="BR108" t="str">
        <f>"11-9021.00"</f>
        <v>11-9021.00</v>
      </c>
      <c r="BS108" t="s">
        <v>1451</v>
      </c>
      <c r="BT108" s="3">
        <v>36.200000000000003</v>
      </c>
      <c r="BU108" t="s">
        <v>80</v>
      </c>
      <c r="BV108" t="s">
        <v>90</v>
      </c>
      <c r="BW108" t="s">
        <v>92</v>
      </c>
      <c r="BZ108" s="1">
        <v>45107</v>
      </c>
    </row>
    <row r="109" spans="1:78" ht="15" customHeight="1" x14ac:dyDescent="0.25">
      <c r="A109" t="s">
        <v>1058</v>
      </c>
      <c r="B109" t="s">
        <v>94</v>
      </c>
      <c r="C109" s="1">
        <v>44852</v>
      </c>
      <c r="D109" s="1">
        <v>44910</v>
      </c>
      <c r="H109" t="s">
        <v>78</v>
      </c>
      <c r="I109" t="str">
        <f>"Barcinas"</f>
        <v>Barcinas</v>
      </c>
      <c r="J109" t="str">
        <f>"Jonas"</f>
        <v>Jonas</v>
      </c>
      <c r="K109" t="str">
        <f>"M"</f>
        <v>M</v>
      </c>
      <c r="L109" t="str">
        <f>"Owner"</f>
        <v>Owner</v>
      </c>
      <c r="M109" t="str">
        <f>"503496 Buenas Dias Dandan"</f>
        <v>503496 Buenas Dias Dandan</v>
      </c>
      <c r="N109" t="str">
        <f>""</f>
        <v/>
      </c>
      <c r="O109" t="str">
        <f>"Saipan"</f>
        <v>Saipan</v>
      </c>
      <c r="P109" t="str">
        <f t="shared" si="47"/>
        <v>MP</v>
      </c>
      <c r="Q109" s="4" t="str">
        <f t="shared" si="64"/>
        <v>96950</v>
      </c>
      <c r="R109" t="str">
        <f t="shared" si="25"/>
        <v>UNITED STATES OF AMERICA</v>
      </c>
      <c r="S109" t="str">
        <f>"Northern Marias Island"</f>
        <v>Northern Marias Island</v>
      </c>
      <c r="T109" s="5" t="str">
        <f>"16709899218"</f>
        <v>16709899218</v>
      </c>
      <c r="U109" t="str">
        <f>""</f>
        <v/>
      </c>
      <c r="V109" s="5" t="str">
        <f>""</f>
        <v/>
      </c>
      <c r="W109" t="str">
        <f>"rjsmanpower2021@gmail.com"</f>
        <v>rjsmanpower2021@gmail.com</v>
      </c>
      <c r="X109" t="str">
        <f>"Jonas M. Barcinas"</f>
        <v>Jonas M. Barcinas</v>
      </c>
      <c r="Y109" t="str">
        <f>"RJs Manpower Agency"</f>
        <v>RJs Manpower Agency</v>
      </c>
      <c r="Z109" t="str">
        <f>"503496 Buenas Dias Dandan"</f>
        <v>503496 Buenas Dias Dandan</v>
      </c>
      <c r="AA109" t="str">
        <f>""</f>
        <v/>
      </c>
      <c r="AB109" t="str">
        <f>"Saipan"</f>
        <v>Saipan</v>
      </c>
      <c r="AC109" t="str">
        <f t="shared" si="26"/>
        <v>MP</v>
      </c>
      <c r="AD109" t="str">
        <f t="shared" si="65"/>
        <v>96950</v>
      </c>
      <c r="AE109" t="str">
        <f t="shared" si="27"/>
        <v>UNITED STATES OF AMERICA</v>
      </c>
      <c r="AF109" t="str">
        <f>"Northern Marianas Island"</f>
        <v>Northern Marianas Island</v>
      </c>
      <c r="AG109" s="4" t="str">
        <f>"16709899218"</f>
        <v>16709899218</v>
      </c>
      <c r="AH109" t="str">
        <f>""</f>
        <v/>
      </c>
      <c r="AI109" t="str">
        <f>"561320"</f>
        <v>561320</v>
      </c>
      <c r="AJ109" t="s">
        <v>79</v>
      </c>
      <c r="AK109" t="s">
        <v>79</v>
      </c>
      <c r="AL109" t="s">
        <v>80</v>
      </c>
      <c r="AM109" t="s">
        <v>79</v>
      </c>
      <c r="AP109" t="str">
        <f>"Commercial Cleaner"</f>
        <v>Commercial Cleaner</v>
      </c>
      <c r="AQ109" t="str">
        <f>"37-2011.00"</f>
        <v>37-2011.00</v>
      </c>
      <c r="AR109" t="str">
        <f>"Janitors and Cleaners, Except Maids and Housekeeping Cleaners"</f>
        <v>Janitors and Cleaners, Except Maids and Housekeeping Cleaners</v>
      </c>
      <c r="AS109" t="str">
        <f>"NA"</f>
        <v>NA</v>
      </c>
      <c r="AT109" t="s">
        <v>79</v>
      </c>
      <c r="AU109" t="str">
        <f>""</f>
        <v/>
      </c>
      <c r="AV109" t="str">
        <f>""</f>
        <v/>
      </c>
      <c r="AW109" t="s">
        <v>79</v>
      </c>
      <c r="AX109" t="str">
        <f>""</f>
        <v/>
      </c>
      <c r="AY109" t="s">
        <v>84</v>
      </c>
      <c r="BA109" t="s">
        <v>80</v>
      </c>
      <c r="BB109" t="s">
        <v>79</v>
      </c>
      <c r="BD109" t="s">
        <v>79</v>
      </c>
      <c r="BG109" t="s">
        <v>79</v>
      </c>
      <c r="BJ109" t="s">
        <v>80</v>
      </c>
      <c r="BK109" t="str">
        <f>"503496 Buenas Dias Dandan"</f>
        <v>503496 Buenas Dias Dandan</v>
      </c>
      <c r="BL109" t="str">
        <f>""</f>
        <v/>
      </c>
      <c r="BM109" t="str">
        <f>"Saipan"</f>
        <v>Saipan</v>
      </c>
      <c r="BO109" t="s">
        <v>83</v>
      </c>
      <c r="BP109" s="4" t="str">
        <f t="shared" si="67"/>
        <v>96950</v>
      </c>
      <c r="BQ109" t="s">
        <v>79</v>
      </c>
      <c r="BR109" t="str">
        <f>"37-2011.00"</f>
        <v>37-2011.00</v>
      </c>
      <c r="BS109" t="s">
        <v>313</v>
      </c>
      <c r="BT109" s="3">
        <v>7.99</v>
      </c>
      <c r="BU109" t="s">
        <v>80</v>
      </c>
      <c r="BV109" t="s">
        <v>90</v>
      </c>
      <c r="BW109" t="s">
        <v>92</v>
      </c>
      <c r="BZ109" s="1">
        <v>45107</v>
      </c>
    </row>
    <row r="110" spans="1:78" ht="15" customHeight="1" x14ac:dyDescent="0.25">
      <c r="A110" t="s">
        <v>1431</v>
      </c>
      <c r="B110" t="s">
        <v>94</v>
      </c>
      <c r="C110" s="1">
        <v>44867</v>
      </c>
      <c r="D110" s="1">
        <v>44907</v>
      </c>
      <c r="H110" t="s">
        <v>78</v>
      </c>
      <c r="I110" t="str">
        <f>"Beltran"</f>
        <v>Beltran</v>
      </c>
      <c r="J110" t="str">
        <f>"Maria"</f>
        <v>Maria</v>
      </c>
      <c r="K110" t="str">
        <f>"Butiong"</f>
        <v>Butiong</v>
      </c>
      <c r="L110" t="str">
        <f>"Accounting Manager"</f>
        <v>Accounting Manager</v>
      </c>
      <c r="M110" t="str">
        <f>"PMB 1020 PO Box 10000"</f>
        <v>PMB 1020 PO Box 10000</v>
      </c>
      <c r="N110" t="str">
        <f>"Kagman Rd Rte 34 "</f>
        <v xml:space="preserve">Kagman Rd Rte 34 </v>
      </c>
      <c r="O110" t="str">
        <f>"Saipan"</f>
        <v>Saipan</v>
      </c>
      <c r="P110" t="str">
        <f t="shared" si="47"/>
        <v>MP</v>
      </c>
      <c r="Q110" s="4" t="str">
        <f t="shared" si="64"/>
        <v>96950</v>
      </c>
      <c r="R110" t="str">
        <f t="shared" si="25"/>
        <v>UNITED STATES OF AMERICA</v>
      </c>
      <c r="S110" t="str">
        <f>"Kagman III"</f>
        <v>Kagman III</v>
      </c>
      <c r="T110" s="5" t="str">
        <f>"16702368874"</f>
        <v>16702368874</v>
      </c>
      <c r="U110" t="str">
        <f>""</f>
        <v/>
      </c>
      <c r="V110" s="5" t="str">
        <f>""</f>
        <v/>
      </c>
      <c r="W110" t="str">
        <f>"mbeltran@laolaobaygolf.com"</f>
        <v>mbeltran@laolaobaygolf.com</v>
      </c>
      <c r="X110" t="str">
        <f>"Saipan Laulau Development Inc."</f>
        <v>Saipan Laulau Development Inc.</v>
      </c>
      <c r="Y110" t="str">
        <f>"Laolao Bay Golf &amp; Resort"</f>
        <v>Laolao Bay Golf &amp; Resort</v>
      </c>
      <c r="Z110" t="str">
        <f>"PMB 1020 PO Box 10000"</f>
        <v>PMB 1020 PO Box 10000</v>
      </c>
      <c r="AA110" t="str">
        <f>"Kagman Rd Rte 34"</f>
        <v>Kagman Rd Rte 34</v>
      </c>
      <c r="AB110" t="str">
        <f>"Saipan"</f>
        <v>Saipan</v>
      </c>
      <c r="AC110" t="str">
        <f t="shared" si="26"/>
        <v>MP</v>
      </c>
      <c r="AD110" t="str">
        <f t="shared" si="65"/>
        <v>96950</v>
      </c>
      <c r="AE110" t="str">
        <f t="shared" si="27"/>
        <v>UNITED STATES OF AMERICA</v>
      </c>
      <c r="AF110" t="str">
        <f>"Kagman III"</f>
        <v>Kagman III</v>
      </c>
      <c r="AG110" s="4" t="str">
        <f>"16702368888"</f>
        <v>16702368888</v>
      </c>
      <c r="AH110" t="str">
        <f>""</f>
        <v/>
      </c>
      <c r="AI110" t="str">
        <f>"713910"</f>
        <v>713910</v>
      </c>
      <c r="AJ110" t="s">
        <v>79</v>
      </c>
      <c r="AK110" t="s">
        <v>79</v>
      </c>
      <c r="AL110" t="s">
        <v>80</v>
      </c>
      <c r="AM110" t="s">
        <v>79</v>
      </c>
      <c r="AP110" t="str">
        <f>"Chemical Applicator"</f>
        <v>Chemical Applicator</v>
      </c>
      <c r="AQ110" t="str">
        <f>"37-3012.00"</f>
        <v>37-3012.00</v>
      </c>
      <c r="AR110" t="str">
        <f>"Pesticide Handlers, Sprayers, and Applicators, Vegetation"</f>
        <v>Pesticide Handlers, Sprayers, and Applicators, Vegetation</v>
      </c>
      <c r="AS110" t="str">
        <f>"Golf Course Superintendent"</f>
        <v>Golf Course Superintendent</v>
      </c>
      <c r="AT110" t="s">
        <v>79</v>
      </c>
      <c r="AU110" t="str">
        <f>""</f>
        <v/>
      </c>
      <c r="AV110" t="str">
        <f>""</f>
        <v/>
      </c>
      <c r="AW110" t="s">
        <v>79</v>
      </c>
      <c r="AX110" t="str">
        <f>""</f>
        <v/>
      </c>
      <c r="AY110" t="s">
        <v>84</v>
      </c>
      <c r="BA110" t="s">
        <v>80</v>
      </c>
      <c r="BB110" t="s">
        <v>79</v>
      </c>
      <c r="BD110" t="s">
        <v>79</v>
      </c>
      <c r="BG110" t="s">
        <v>82</v>
      </c>
      <c r="BH110">
        <v>12</v>
      </c>
      <c r="BI110" t="s">
        <v>1432</v>
      </c>
      <c r="BJ110" t="s">
        <v>1433</v>
      </c>
      <c r="BK110" t="str">
        <f>"Kagman Rd Rte 34, Kagman III"</f>
        <v>Kagman Rd Rte 34, Kagman III</v>
      </c>
      <c r="BL110" t="str">
        <f>"PMB 1020 PO Box 10000"</f>
        <v>PMB 1020 PO Box 10000</v>
      </c>
      <c r="BM110" t="str">
        <f>"Saipan"</f>
        <v>Saipan</v>
      </c>
      <c r="BO110" t="s">
        <v>83</v>
      </c>
      <c r="BP110" s="4" t="str">
        <f t="shared" si="67"/>
        <v>96950</v>
      </c>
      <c r="BQ110" t="s">
        <v>79</v>
      </c>
      <c r="BR110" t="str">
        <f>"37-3012.00"</f>
        <v>37-3012.00</v>
      </c>
      <c r="BS110" t="s">
        <v>1434</v>
      </c>
      <c r="BT110" s="3">
        <v>9.8800000000000008</v>
      </c>
      <c r="BU110" t="s">
        <v>80</v>
      </c>
      <c r="BV110" t="s">
        <v>90</v>
      </c>
      <c r="BW110" t="s">
        <v>92</v>
      </c>
      <c r="BZ110" s="1">
        <v>45107</v>
      </c>
    </row>
    <row r="111" spans="1:78" ht="15" customHeight="1" x14ac:dyDescent="0.25">
      <c r="A111" t="s">
        <v>1435</v>
      </c>
      <c r="B111" t="s">
        <v>94</v>
      </c>
      <c r="C111" s="1">
        <v>44867</v>
      </c>
      <c r="D111" s="1">
        <v>44907</v>
      </c>
      <c r="H111" t="s">
        <v>78</v>
      </c>
      <c r="I111" t="str">
        <f>"CHUNG"</f>
        <v>CHUNG</v>
      </c>
      <c r="J111" t="str">
        <f>"SUK HEE"</f>
        <v>SUK HEE</v>
      </c>
      <c r="K111" t="str">
        <f>""</f>
        <v/>
      </c>
      <c r="L111" t="str">
        <f>"PRESIDENT"</f>
        <v>PRESIDENT</v>
      </c>
      <c r="M111" t="str">
        <f>"SINAPALO I VILLAGE"</f>
        <v>SINAPALO I VILLAGE</v>
      </c>
      <c r="N111" t="str">
        <f>"PO BOX 999"</f>
        <v>PO BOX 999</v>
      </c>
      <c r="O111" t="str">
        <f>"ROTA"</f>
        <v>ROTA</v>
      </c>
      <c r="P111" t="str">
        <f t="shared" si="47"/>
        <v>MP</v>
      </c>
      <c r="Q111" s="4" t="str">
        <f>"96951"</f>
        <v>96951</v>
      </c>
      <c r="R111" t="str">
        <f t="shared" si="25"/>
        <v>UNITED STATES OF AMERICA</v>
      </c>
      <c r="S111" t="str">
        <f>"N/A"</f>
        <v>N/A</v>
      </c>
      <c r="T111" s="5" t="str">
        <f>"16705323131"</f>
        <v>16705323131</v>
      </c>
      <c r="U111" t="str">
        <f>"0"</f>
        <v>0</v>
      </c>
      <c r="V111" s="5" t="str">
        <f>""</f>
        <v/>
      </c>
      <c r="W111" t="str">
        <f>"sycorporation4338@gmail.com"</f>
        <v>sycorporation4338@gmail.com</v>
      </c>
      <c r="X111" t="str">
        <f>"S &amp; Y CORPORATION"</f>
        <v>S &amp; Y CORPORATION</v>
      </c>
      <c r="Y111" t="str">
        <f>"SUNSHINE VARIETY SHOP"</f>
        <v>SUNSHINE VARIETY SHOP</v>
      </c>
      <c r="Z111" t="str">
        <f>"SINAPALO I VILLAGE"</f>
        <v>SINAPALO I VILLAGE</v>
      </c>
      <c r="AA111" t="str">
        <f>"PO BOX 999"</f>
        <v>PO BOX 999</v>
      </c>
      <c r="AB111" t="str">
        <f>"ROTA"</f>
        <v>ROTA</v>
      </c>
      <c r="AC111" t="str">
        <f t="shared" si="26"/>
        <v>MP</v>
      </c>
      <c r="AD111" t="str">
        <f>"96951"</f>
        <v>96951</v>
      </c>
      <c r="AE111" t="str">
        <f t="shared" si="27"/>
        <v>UNITED STATES OF AMERICA</v>
      </c>
      <c r="AF111" t="str">
        <f>"N/A"</f>
        <v>N/A</v>
      </c>
      <c r="AG111" s="4" t="str">
        <f>"16705323131"</f>
        <v>16705323131</v>
      </c>
      <c r="AH111" t="str">
        <f>"0"</f>
        <v>0</v>
      </c>
      <c r="AI111" t="str">
        <f>"44413"</f>
        <v>44413</v>
      </c>
      <c r="AJ111" t="s">
        <v>79</v>
      </c>
      <c r="AK111" t="s">
        <v>79</v>
      </c>
      <c r="AL111" t="s">
        <v>80</v>
      </c>
      <c r="AM111" t="s">
        <v>79</v>
      </c>
      <c r="AP111" t="str">
        <f>"SALES ASSOCIATE"</f>
        <v>SALES ASSOCIATE</v>
      </c>
      <c r="AQ111" t="str">
        <f>"41-2031.00"</f>
        <v>41-2031.00</v>
      </c>
      <c r="AR111" t="str">
        <f>"Retail Salespersons"</f>
        <v>Retail Salespersons</v>
      </c>
      <c r="AS111" t="str">
        <f>"N/A"</f>
        <v>N/A</v>
      </c>
      <c r="AT111" t="s">
        <v>79</v>
      </c>
      <c r="AU111" t="str">
        <f>""</f>
        <v/>
      </c>
      <c r="AV111" t="str">
        <f>""</f>
        <v/>
      </c>
      <c r="AW111" t="s">
        <v>79</v>
      </c>
      <c r="AX111" t="str">
        <f>""</f>
        <v/>
      </c>
      <c r="AY111" t="s">
        <v>84</v>
      </c>
      <c r="BA111" t="s">
        <v>80</v>
      </c>
      <c r="BB111" t="s">
        <v>79</v>
      </c>
      <c r="BD111" t="s">
        <v>79</v>
      </c>
      <c r="BG111" t="s">
        <v>82</v>
      </c>
      <c r="BH111">
        <v>12</v>
      </c>
      <c r="BI111" t="s">
        <v>1436</v>
      </c>
      <c r="BJ111" t="s">
        <v>1437</v>
      </c>
      <c r="BK111" t="str">
        <f>"SINAPALO I VILALGE"</f>
        <v>SINAPALO I VILALGE</v>
      </c>
      <c r="BL111" t="str">
        <f>"PO BOX 999"</f>
        <v>PO BOX 999</v>
      </c>
      <c r="BM111" t="str">
        <f>"ROTA"</f>
        <v>ROTA</v>
      </c>
      <c r="BO111" t="s">
        <v>83</v>
      </c>
      <c r="BP111" s="4" t="str">
        <f>"96951"</f>
        <v>96951</v>
      </c>
      <c r="BQ111" t="s">
        <v>79</v>
      </c>
      <c r="BR111" t="str">
        <f>"41-2031.00"</f>
        <v>41-2031.00</v>
      </c>
      <c r="BS111" t="s">
        <v>1129</v>
      </c>
      <c r="BT111" s="3">
        <v>8.92</v>
      </c>
      <c r="BU111" t="s">
        <v>80</v>
      </c>
      <c r="BV111" t="s">
        <v>90</v>
      </c>
      <c r="BW111" t="s">
        <v>92</v>
      </c>
      <c r="BZ111" s="1">
        <v>45107</v>
      </c>
    </row>
    <row r="112" spans="1:78" ht="15" customHeight="1" x14ac:dyDescent="0.25">
      <c r="A112" t="s">
        <v>1413</v>
      </c>
      <c r="B112" t="s">
        <v>94</v>
      </c>
      <c r="C112" s="1">
        <v>44866</v>
      </c>
      <c r="D112" s="1">
        <v>44907</v>
      </c>
      <c r="H112" t="s">
        <v>78</v>
      </c>
      <c r="I112" t="str">
        <f>"Manglona"</f>
        <v>Manglona</v>
      </c>
      <c r="J112" t="str">
        <f>"Jacqueline"</f>
        <v>Jacqueline</v>
      </c>
      <c r="K112" t="str">
        <f>""</f>
        <v/>
      </c>
      <c r="L112" t="str">
        <f>"Manager"</f>
        <v>Manager</v>
      </c>
      <c r="M112" t="str">
        <f>"1 SONGSONG VILLAGE, 597"</f>
        <v>1 SONGSONG VILLAGE, 597</v>
      </c>
      <c r="N112" t="str">
        <f>""</f>
        <v/>
      </c>
      <c r="O112" t="str">
        <f>"ROTA"</f>
        <v>ROTA</v>
      </c>
      <c r="P112" t="str">
        <f t="shared" si="47"/>
        <v>MP</v>
      </c>
      <c r="Q112" s="4" t="str">
        <f>"96951"</f>
        <v>96951</v>
      </c>
      <c r="R112" t="str">
        <f t="shared" si="25"/>
        <v>UNITED STATES OF AMERICA</v>
      </c>
      <c r="S112" t="str">
        <f>""</f>
        <v/>
      </c>
      <c r="T112" s="5" t="str">
        <f>"16702853559"</f>
        <v>16702853559</v>
      </c>
      <c r="U112" t="str">
        <f>""</f>
        <v/>
      </c>
      <c r="V112" s="5" t="str">
        <f>""</f>
        <v/>
      </c>
      <c r="W112" t="str">
        <f>"jackie.manglona@kinrit.com"</f>
        <v>jackie.manglona@kinrit.com</v>
      </c>
      <c r="X112" t="str">
        <f>"Kin &amp; Rit Enterprises"</f>
        <v>Kin &amp; Rit Enterprises</v>
      </c>
      <c r="Y112" t="str">
        <f>"Pizzaria Bar &amp; Grill"</f>
        <v>Pizzaria Bar &amp; Grill</v>
      </c>
      <c r="Z112" t="str">
        <f>"1 SONGSONG VILLAGE, 597"</f>
        <v>1 SONGSONG VILLAGE, 597</v>
      </c>
      <c r="AA112" t="str">
        <f>""</f>
        <v/>
      </c>
      <c r="AB112" t="str">
        <f>"ROTA"</f>
        <v>ROTA</v>
      </c>
      <c r="AC112" t="str">
        <f t="shared" si="26"/>
        <v>MP</v>
      </c>
      <c r="AD112" t="str">
        <f>"96951"</f>
        <v>96951</v>
      </c>
      <c r="AE112" t="str">
        <f t="shared" si="27"/>
        <v>UNITED STATES OF AMERICA</v>
      </c>
      <c r="AF112" t="str">
        <f>""</f>
        <v/>
      </c>
      <c r="AG112" s="4" t="str">
        <f>"16702853559"</f>
        <v>16702853559</v>
      </c>
      <c r="AH112" t="str">
        <f>""</f>
        <v/>
      </c>
      <c r="AI112" t="str">
        <f>"722511"</f>
        <v>722511</v>
      </c>
      <c r="AJ112" t="s">
        <v>79</v>
      </c>
      <c r="AK112" t="s">
        <v>79</v>
      </c>
      <c r="AL112" t="s">
        <v>80</v>
      </c>
      <c r="AM112" t="s">
        <v>79</v>
      </c>
      <c r="AP112" t="str">
        <f>"Waitstaff"</f>
        <v>Waitstaff</v>
      </c>
      <c r="AQ112" t="str">
        <f>"35-3031.00"</f>
        <v>35-3031.00</v>
      </c>
      <c r="AR112" t="str">
        <f>"Waiters and Waitresses"</f>
        <v>Waiters and Waitresses</v>
      </c>
      <c r="AS112" t="str">
        <f>"Manager"</f>
        <v>Manager</v>
      </c>
      <c r="AT112" t="s">
        <v>79</v>
      </c>
      <c r="AU112" t="str">
        <f>""</f>
        <v/>
      </c>
      <c r="AV112" t="str">
        <f>""</f>
        <v/>
      </c>
      <c r="AW112" t="s">
        <v>79</v>
      </c>
      <c r="AX112" t="str">
        <f>""</f>
        <v/>
      </c>
      <c r="AY112" t="s">
        <v>84</v>
      </c>
      <c r="BA112" t="s">
        <v>80</v>
      </c>
      <c r="BB112" t="s">
        <v>79</v>
      </c>
      <c r="BD112" t="s">
        <v>79</v>
      </c>
      <c r="BG112" t="s">
        <v>79</v>
      </c>
      <c r="BJ112" s="2" t="s">
        <v>1414</v>
      </c>
      <c r="BK112" t="str">
        <f>"1 SONGSONG VILLAGE, 597"</f>
        <v>1 SONGSONG VILLAGE, 597</v>
      </c>
      <c r="BL112" t="str">
        <f>""</f>
        <v/>
      </c>
      <c r="BM112" t="str">
        <f>"ROTA"</f>
        <v>ROTA</v>
      </c>
      <c r="BO112" t="s">
        <v>83</v>
      </c>
      <c r="BP112" s="4" t="str">
        <f>"96951"</f>
        <v>96951</v>
      </c>
      <c r="BQ112" t="s">
        <v>79</v>
      </c>
      <c r="BR112" t="str">
        <f>"35-3031.00"</f>
        <v>35-3031.00</v>
      </c>
      <c r="BS112" t="s">
        <v>761</v>
      </c>
      <c r="BT112" s="3">
        <v>8.17</v>
      </c>
      <c r="BU112" t="s">
        <v>80</v>
      </c>
      <c r="BV112" t="s">
        <v>90</v>
      </c>
      <c r="BW112" t="s">
        <v>92</v>
      </c>
      <c r="BZ112" s="1">
        <v>45107</v>
      </c>
    </row>
    <row r="113" spans="1:78" ht="15" customHeight="1" x14ac:dyDescent="0.25">
      <c r="A113" t="s">
        <v>1415</v>
      </c>
      <c r="B113" t="s">
        <v>94</v>
      </c>
      <c r="C113" s="1">
        <v>44866</v>
      </c>
      <c r="D113" s="1">
        <v>44907</v>
      </c>
      <c r="H113" t="s">
        <v>78</v>
      </c>
      <c r="I113" t="str">
        <f>"Manglona"</f>
        <v>Manglona</v>
      </c>
      <c r="J113" t="str">
        <f>"Jacqueline"</f>
        <v>Jacqueline</v>
      </c>
      <c r="K113" t="str">
        <f>""</f>
        <v/>
      </c>
      <c r="L113" t="str">
        <f>"Manager"</f>
        <v>Manager</v>
      </c>
      <c r="M113" t="str">
        <f>"1 SONGSONG VILLAGE, 597"</f>
        <v>1 SONGSONG VILLAGE, 597</v>
      </c>
      <c r="N113" t="str">
        <f>""</f>
        <v/>
      </c>
      <c r="O113" t="str">
        <f>"ROTA"</f>
        <v>ROTA</v>
      </c>
      <c r="P113" t="str">
        <f t="shared" ref="P113:P144" si="69">"MP"</f>
        <v>MP</v>
      </c>
      <c r="Q113" s="4" t="str">
        <f>"96951"</f>
        <v>96951</v>
      </c>
      <c r="R113" t="str">
        <f t="shared" si="25"/>
        <v>UNITED STATES OF AMERICA</v>
      </c>
      <c r="S113" t="str">
        <f>""</f>
        <v/>
      </c>
      <c r="T113" s="5" t="str">
        <f>"16702853559"</f>
        <v>16702853559</v>
      </c>
      <c r="U113" t="str">
        <f>""</f>
        <v/>
      </c>
      <c r="V113" s="5" t="str">
        <f>""</f>
        <v/>
      </c>
      <c r="W113" t="str">
        <f>"jackie.manglona@kinrit.com"</f>
        <v>jackie.manglona@kinrit.com</v>
      </c>
      <c r="X113" t="str">
        <f>"Kin &amp; Rit Enterprises"</f>
        <v>Kin &amp; Rit Enterprises</v>
      </c>
      <c r="Y113" t="str">
        <f>"Coral Garden Hotel"</f>
        <v>Coral Garden Hotel</v>
      </c>
      <c r="Z113" t="str">
        <f>"1 SONGSONG VILLAGE, 597"</f>
        <v>1 SONGSONG VILLAGE, 597</v>
      </c>
      <c r="AA113" t="str">
        <f>""</f>
        <v/>
      </c>
      <c r="AB113" t="str">
        <f>"ROTA"</f>
        <v>ROTA</v>
      </c>
      <c r="AC113" t="str">
        <f t="shared" si="26"/>
        <v>MP</v>
      </c>
      <c r="AD113" t="str">
        <f>"96951"</f>
        <v>96951</v>
      </c>
      <c r="AE113" t="str">
        <f t="shared" si="27"/>
        <v>UNITED STATES OF AMERICA</v>
      </c>
      <c r="AF113" t="str">
        <f>""</f>
        <v/>
      </c>
      <c r="AG113" s="4" t="str">
        <f>"16702853559"</f>
        <v>16702853559</v>
      </c>
      <c r="AH113" t="str">
        <f>""</f>
        <v/>
      </c>
      <c r="AI113" t="str">
        <f>"72111"</f>
        <v>72111</v>
      </c>
      <c r="AJ113" t="s">
        <v>79</v>
      </c>
      <c r="AK113" t="s">
        <v>79</v>
      </c>
      <c r="AL113" t="s">
        <v>80</v>
      </c>
      <c r="AM113" t="s">
        <v>79</v>
      </c>
      <c r="AP113" t="str">
        <f>"Housekeeper"</f>
        <v>Housekeeper</v>
      </c>
      <c r="AQ113" t="str">
        <f>"37-2012.00"</f>
        <v>37-2012.00</v>
      </c>
      <c r="AR113" t="str">
        <f>"Maids and Housekeeping Cleaners"</f>
        <v>Maids and Housekeeping Cleaners</v>
      </c>
      <c r="AS113" t="str">
        <f>"Manager"</f>
        <v>Manager</v>
      </c>
      <c r="AT113" t="s">
        <v>79</v>
      </c>
      <c r="AU113" t="str">
        <f>""</f>
        <v/>
      </c>
      <c r="AV113" t="str">
        <f>""</f>
        <v/>
      </c>
      <c r="AW113" t="s">
        <v>79</v>
      </c>
      <c r="AX113" t="str">
        <f>""</f>
        <v/>
      </c>
      <c r="AY113" t="s">
        <v>84</v>
      </c>
      <c r="BA113" t="s">
        <v>80</v>
      </c>
      <c r="BB113" t="s">
        <v>79</v>
      </c>
      <c r="BD113" t="s">
        <v>79</v>
      </c>
      <c r="BG113" t="s">
        <v>82</v>
      </c>
      <c r="BH113">
        <v>6</v>
      </c>
      <c r="BI113" t="s">
        <v>706</v>
      </c>
      <c r="BJ113" s="2" t="s">
        <v>1416</v>
      </c>
      <c r="BK113" t="str">
        <f>"District 4 Songsong Village"</f>
        <v>District 4 Songsong Village</v>
      </c>
      <c r="BL113" t="str">
        <f>"PO BOX 597 Songsong Village "</f>
        <v xml:space="preserve">PO BOX 597 Songsong Village </v>
      </c>
      <c r="BM113" t="str">
        <f>"ROTA"</f>
        <v>ROTA</v>
      </c>
      <c r="BO113" t="s">
        <v>83</v>
      </c>
      <c r="BP113" s="4" t="str">
        <f>"96951"</f>
        <v>96951</v>
      </c>
      <c r="BQ113" t="s">
        <v>79</v>
      </c>
      <c r="BR113" t="str">
        <f>"37-2012.00"</f>
        <v>37-2012.00</v>
      </c>
      <c r="BS113" t="s">
        <v>109</v>
      </c>
      <c r="BT113" s="3">
        <v>7.56</v>
      </c>
      <c r="BU113" t="s">
        <v>80</v>
      </c>
      <c r="BV113" t="s">
        <v>90</v>
      </c>
      <c r="BW113" t="s">
        <v>92</v>
      </c>
      <c r="BZ113" s="1">
        <v>45107</v>
      </c>
    </row>
    <row r="114" spans="1:78" ht="15" customHeight="1" x14ac:dyDescent="0.25">
      <c r="A114" t="s">
        <v>1417</v>
      </c>
      <c r="B114" t="s">
        <v>94</v>
      </c>
      <c r="C114" s="1">
        <v>44866</v>
      </c>
      <c r="D114" s="1">
        <v>44907</v>
      </c>
      <c r="H114" t="s">
        <v>78</v>
      </c>
      <c r="I114" t="str">
        <f>"Manglona"</f>
        <v>Manglona</v>
      </c>
      <c r="J114" t="str">
        <f>"Jacqueline"</f>
        <v>Jacqueline</v>
      </c>
      <c r="K114" t="str">
        <f>""</f>
        <v/>
      </c>
      <c r="L114" t="str">
        <f>"Operations Manager"</f>
        <v>Operations Manager</v>
      </c>
      <c r="M114" t="str">
        <f>"PO BOX 597"</f>
        <v>PO BOX 597</v>
      </c>
      <c r="N114" t="str">
        <f>""</f>
        <v/>
      </c>
      <c r="O114" t="str">
        <f>"ROTA"</f>
        <v>ROTA</v>
      </c>
      <c r="P114" t="str">
        <f t="shared" si="69"/>
        <v>MP</v>
      </c>
      <c r="Q114" s="4" t="str">
        <f>"96951"</f>
        <v>96951</v>
      </c>
      <c r="R114" t="str">
        <f t="shared" si="25"/>
        <v>UNITED STATES OF AMERICA</v>
      </c>
      <c r="S114" t="str">
        <f>""</f>
        <v/>
      </c>
      <c r="T114" s="5" t="str">
        <f>"16702853559"</f>
        <v>16702853559</v>
      </c>
      <c r="U114" t="str">
        <f>""</f>
        <v/>
      </c>
      <c r="V114" s="5" t="str">
        <f>""</f>
        <v/>
      </c>
      <c r="W114" t="str">
        <f>"jackie.manglona@kinrit.com"</f>
        <v>jackie.manglona@kinrit.com</v>
      </c>
      <c r="X114" t="str">
        <f>"Kin &amp; Rit Incorporated"</f>
        <v>Kin &amp; Rit Incorporated</v>
      </c>
      <c r="Y114" t="str">
        <f>"Lucky II Mart"</f>
        <v>Lucky II Mart</v>
      </c>
      <c r="Z114" t="str">
        <f>"PO BOX 597 Sinapalo Village"</f>
        <v>PO BOX 597 Sinapalo Village</v>
      </c>
      <c r="AA114" t="str">
        <f>""</f>
        <v/>
      </c>
      <c r="AB114" t="str">
        <f>"ROTA"</f>
        <v>ROTA</v>
      </c>
      <c r="AC114" t="str">
        <f t="shared" si="26"/>
        <v>MP</v>
      </c>
      <c r="AD114" t="str">
        <f>"96951"</f>
        <v>96951</v>
      </c>
      <c r="AE114" t="str">
        <f t="shared" si="27"/>
        <v>UNITED STATES OF AMERICA</v>
      </c>
      <c r="AF114" t="str">
        <f>""</f>
        <v/>
      </c>
      <c r="AG114" s="4" t="str">
        <f>"16702853559"</f>
        <v>16702853559</v>
      </c>
      <c r="AH114" t="str">
        <f>""</f>
        <v/>
      </c>
      <c r="AI114" t="str">
        <f>"4451"</f>
        <v>4451</v>
      </c>
      <c r="AJ114" t="s">
        <v>79</v>
      </c>
      <c r="AK114" t="s">
        <v>79</v>
      </c>
      <c r="AL114" t="s">
        <v>80</v>
      </c>
      <c r="AM114" t="s">
        <v>79</v>
      </c>
      <c r="AP114" t="str">
        <f>"Store Supervisor"</f>
        <v>Store Supervisor</v>
      </c>
      <c r="AQ114" t="str">
        <f>"41-1011.00"</f>
        <v>41-1011.00</v>
      </c>
      <c r="AR114" t="str">
        <f>"First-Line Supervisors of Retail Sales Workers"</f>
        <v>First-Line Supervisors of Retail Sales Workers</v>
      </c>
      <c r="AS114" t="str">
        <f>"Manager"</f>
        <v>Manager</v>
      </c>
      <c r="AT114" t="s">
        <v>82</v>
      </c>
      <c r="AU114" t="str">
        <f>"4"</f>
        <v>4</v>
      </c>
      <c r="AV114" t="str">
        <f>"Subordinate"</f>
        <v>Subordinate</v>
      </c>
      <c r="AW114" t="s">
        <v>79</v>
      </c>
      <c r="AX114" t="str">
        <f>""</f>
        <v/>
      </c>
      <c r="AY114" t="s">
        <v>84</v>
      </c>
      <c r="BA114" t="s">
        <v>80</v>
      </c>
      <c r="BB114" t="s">
        <v>79</v>
      </c>
      <c r="BD114" t="s">
        <v>79</v>
      </c>
      <c r="BG114" t="s">
        <v>79</v>
      </c>
      <c r="BJ114" t="s">
        <v>1418</v>
      </c>
      <c r="BK114" t="str">
        <f>"Sinapalo III"</f>
        <v>Sinapalo III</v>
      </c>
      <c r="BL114" t="str">
        <f>"PO BOX 597"</f>
        <v>PO BOX 597</v>
      </c>
      <c r="BM114" t="str">
        <f>"Rota"</f>
        <v>Rota</v>
      </c>
      <c r="BO114" t="s">
        <v>83</v>
      </c>
      <c r="BP114" s="4" t="str">
        <f>"96951"</f>
        <v>96951</v>
      </c>
      <c r="BQ114" t="s">
        <v>79</v>
      </c>
      <c r="BR114" t="str">
        <f>"41-1011.00"</f>
        <v>41-1011.00</v>
      </c>
      <c r="BS114" t="s">
        <v>280</v>
      </c>
      <c r="BT114" s="3">
        <v>10.45</v>
      </c>
      <c r="BU114" t="s">
        <v>80</v>
      </c>
      <c r="BV114" t="s">
        <v>90</v>
      </c>
      <c r="BW114" t="s">
        <v>92</v>
      </c>
      <c r="BZ114" s="1">
        <v>45107</v>
      </c>
    </row>
    <row r="115" spans="1:78" ht="15" customHeight="1" x14ac:dyDescent="0.25">
      <c r="A115" t="s">
        <v>1419</v>
      </c>
      <c r="B115" t="s">
        <v>94</v>
      </c>
      <c r="C115" s="1">
        <v>44866</v>
      </c>
      <c r="D115" s="1">
        <v>44907</v>
      </c>
      <c r="H115" t="s">
        <v>78</v>
      </c>
      <c r="I115" t="str">
        <f>"Pacala"</f>
        <v>Pacala</v>
      </c>
      <c r="J115" t="str">
        <f>"Marilou"</f>
        <v>Marilou</v>
      </c>
      <c r="K115" t="str">
        <f>""</f>
        <v/>
      </c>
      <c r="L115" t="str">
        <f>"Administrative Assistant"</f>
        <v>Administrative Assistant</v>
      </c>
      <c r="M115" t="str">
        <f>"P.O. Box 505252"</f>
        <v>P.O. Box 505252</v>
      </c>
      <c r="N115" t="str">
        <f>""</f>
        <v/>
      </c>
      <c r="O115" t="str">
        <f>"Saipan"</f>
        <v>Saipan</v>
      </c>
      <c r="P115" t="str">
        <f t="shared" si="69"/>
        <v>MP</v>
      </c>
      <c r="Q115" s="4" t="str">
        <f t="shared" ref="Q115:Q138" si="70">"96950"</f>
        <v>96950</v>
      </c>
      <c r="R115" t="str">
        <f t="shared" si="25"/>
        <v>UNITED STATES OF AMERICA</v>
      </c>
      <c r="S115" t="str">
        <f>""</f>
        <v/>
      </c>
      <c r="T115" s="5" t="str">
        <f>"16702873991"</f>
        <v>16702873991</v>
      </c>
      <c r="U115" t="str">
        <f>""</f>
        <v/>
      </c>
      <c r="V115" s="5" t="str">
        <f>""</f>
        <v/>
      </c>
      <c r="W115" t="str">
        <f>"pccrobertoscafe@gmail.com"</f>
        <v>pccrobertoscafe@gmail.com</v>
      </c>
      <c r="X115" t="str">
        <f>"PCC Corporation "</f>
        <v xml:space="preserve">PCC Corporation </v>
      </c>
      <c r="Y115" t="str">
        <f>"Roberto's Cafe"</f>
        <v>Roberto's Cafe</v>
      </c>
      <c r="Z115" t="str">
        <f>"I Fadang"</f>
        <v>I Fadang</v>
      </c>
      <c r="AA115" t="str">
        <f>"Saipan International Airport"</f>
        <v>Saipan International Airport</v>
      </c>
      <c r="AB115" t="str">
        <f>"Saipan"</f>
        <v>Saipan</v>
      </c>
      <c r="AC115" t="str">
        <f t="shared" si="26"/>
        <v>MP</v>
      </c>
      <c r="AD115" t="str">
        <f t="shared" ref="AD115:AD138" si="71">"96950"</f>
        <v>96950</v>
      </c>
      <c r="AE115" t="str">
        <f t="shared" si="27"/>
        <v>UNITED STATES OF AMERICA</v>
      </c>
      <c r="AF115" t="str">
        <f>""</f>
        <v/>
      </c>
      <c r="AG115" s="4" t="str">
        <f>"16702873991"</f>
        <v>16702873991</v>
      </c>
      <c r="AH115" t="str">
        <f>""</f>
        <v/>
      </c>
      <c r="AI115" t="str">
        <f>"722513"</f>
        <v>722513</v>
      </c>
      <c r="AJ115" t="s">
        <v>79</v>
      </c>
      <c r="AK115" t="s">
        <v>79</v>
      </c>
      <c r="AL115" t="s">
        <v>80</v>
      </c>
      <c r="AM115" t="s">
        <v>79</v>
      </c>
      <c r="AP115" t="str">
        <f>"Computer User Support Analyst"</f>
        <v>Computer User Support Analyst</v>
      </c>
      <c r="AQ115" t="str">
        <f>"15-1232.00"</f>
        <v>15-1232.00</v>
      </c>
      <c r="AR115" t="str">
        <f>"Computer User Support Specialists"</f>
        <v>Computer User Support Specialists</v>
      </c>
      <c r="AS115" t="str">
        <f>"Manager"</f>
        <v>Manager</v>
      </c>
      <c r="AT115" t="s">
        <v>79</v>
      </c>
      <c r="AU115" t="str">
        <f>""</f>
        <v/>
      </c>
      <c r="AV115" t="str">
        <f>""</f>
        <v/>
      </c>
      <c r="AW115" t="s">
        <v>79</v>
      </c>
      <c r="AX115" t="str">
        <f>""</f>
        <v/>
      </c>
      <c r="AY115" t="s">
        <v>84</v>
      </c>
      <c r="BA115" t="s">
        <v>80</v>
      </c>
      <c r="BB115" t="s">
        <v>79</v>
      </c>
      <c r="BD115" t="s">
        <v>79</v>
      </c>
      <c r="BG115" t="s">
        <v>82</v>
      </c>
      <c r="BH115">
        <v>12</v>
      </c>
      <c r="BI115" t="s">
        <v>1420</v>
      </c>
      <c r="BJ115" t="s">
        <v>1421</v>
      </c>
      <c r="BK115" t="str">
        <f>"I Fadang"</f>
        <v>I Fadang</v>
      </c>
      <c r="BL115" t="str">
        <f>"Saipan International Airport"</f>
        <v>Saipan International Airport</v>
      </c>
      <c r="BM115" t="str">
        <f>"Saipan"</f>
        <v>Saipan</v>
      </c>
      <c r="BO115" t="s">
        <v>83</v>
      </c>
      <c r="BP115" s="4" t="str">
        <f t="shared" ref="BP115:BP138" si="72">"96950"</f>
        <v>96950</v>
      </c>
      <c r="BQ115" t="s">
        <v>79</v>
      </c>
      <c r="BR115" t="str">
        <f>"15-1232.00"</f>
        <v>15-1232.00</v>
      </c>
      <c r="BS115" t="s">
        <v>678</v>
      </c>
      <c r="BT115" s="3">
        <v>12.78</v>
      </c>
      <c r="BU115" t="s">
        <v>80</v>
      </c>
      <c r="BV115" t="s">
        <v>90</v>
      </c>
      <c r="BW115" t="s">
        <v>92</v>
      </c>
      <c r="BZ115" s="1">
        <v>45107</v>
      </c>
    </row>
    <row r="116" spans="1:78" ht="15" customHeight="1" x14ac:dyDescent="0.25">
      <c r="A116" t="s">
        <v>1422</v>
      </c>
      <c r="B116" t="s">
        <v>94</v>
      </c>
      <c r="C116" s="1">
        <v>44866</v>
      </c>
      <c r="D116" s="1">
        <v>44907</v>
      </c>
      <c r="H116" t="s">
        <v>78</v>
      </c>
      <c r="I116" t="str">
        <f>"Pacala"</f>
        <v>Pacala</v>
      </c>
      <c r="J116" t="str">
        <f>"Marilou"</f>
        <v>Marilou</v>
      </c>
      <c r="K116" t="str">
        <f>""</f>
        <v/>
      </c>
      <c r="L116" t="str">
        <f>"Administrative Assistant"</f>
        <v>Administrative Assistant</v>
      </c>
      <c r="M116" t="str">
        <f>"P.O. Box 505252"</f>
        <v>P.O. Box 505252</v>
      </c>
      <c r="N116" t="str">
        <f>""</f>
        <v/>
      </c>
      <c r="O116" t="str">
        <f>"Saipan"</f>
        <v>Saipan</v>
      </c>
      <c r="P116" t="str">
        <f t="shared" si="69"/>
        <v>MP</v>
      </c>
      <c r="Q116" s="4" t="str">
        <f t="shared" si="70"/>
        <v>96950</v>
      </c>
      <c r="R116" t="str">
        <f t="shared" si="25"/>
        <v>UNITED STATES OF AMERICA</v>
      </c>
      <c r="S116" t="str">
        <f>""</f>
        <v/>
      </c>
      <c r="T116" s="5" t="str">
        <f>"16702873991"</f>
        <v>16702873991</v>
      </c>
      <c r="U116" t="str">
        <f>""</f>
        <v/>
      </c>
      <c r="V116" s="5" t="str">
        <f>""</f>
        <v/>
      </c>
      <c r="W116" t="str">
        <f>"pccrobertoscafe@gmail.com"</f>
        <v>pccrobertoscafe@gmail.com</v>
      </c>
      <c r="X116" t="str">
        <f>"PCC Corporation"</f>
        <v>PCC Corporation</v>
      </c>
      <c r="Y116" t="str">
        <f>"Roberto's Cafe"</f>
        <v>Roberto's Cafe</v>
      </c>
      <c r="Z116" t="str">
        <f>"I Fadang"</f>
        <v>I Fadang</v>
      </c>
      <c r="AA116" t="str">
        <f>"Saipan International Airport"</f>
        <v>Saipan International Airport</v>
      </c>
      <c r="AB116" t="str">
        <f>"Saipan"</f>
        <v>Saipan</v>
      </c>
      <c r="AC116" t="str">
        <f t="shared" si="26"/>
        <v>MP</v>
      </c>
      <c r="AD116" t="str">
        <f t="shared" si="71"/>
        <v>96950</v>
      </c>
      <c r="AE116" t="str">
        <f t="shared" si="27"/>
        <v>UNITED STATES OF AMERICA</v>
      </c>
      <c r="AF116" t="str">
        <f>""</f>
        <v/>
      </c>
      <c r="AG116" s="4" t="str">
        <f>"16702873991"</f>
        <v>16702873991</v>
      </c>
      <c r="AH116" t="str">
        <f>""</f>
        <v/>
      </c>
      <c r="AI116" t="str">
        <f>"722513"</f>
        <v>722513</v>
      </c>
      <c r="AJ116" t="s">
        <v>79</v>
      </c>
      <c r="AK116" t="s">
        <v>79</v>
      </c>
      <c r="AL116" t="s">
        <v>80</v>
      </c>
      <c r="AM116" t="s">
        <v>79</v>
      </c>
      <c r="AP116" t="str">
        <f>"Computer  User Support Specialist"</f>
        <v>Computer  User Support Specialist</v>
      </c>
      <c r="AQ116" t="str">
        <f>""</f>
        <v/>
      </c>
      <c r="AR116" t="str">
        <f>""</f>
        <v/>
      </c>
      <c r="AS116" t="str">
        <f>"Manager"</f>
        <v>Manager</v>
      </c>
      <c r="AT116" t="s">
        <v>79</v>
      </c>
      <c r="AU116" t="str">
        <f>""</f>
        <v/>
      </c>
      <c r="AV116" t="str">
        <f>""</f>
        <v/>
      </c>
      <c r="AW116" t="s">
        <v>79</v>
      </c>
      <c r="AX116" t="str">
        <f>""</f>
        <v/>
      </c>
      <c r="AY116" t="s">
        <v>84</v>
      </c>
      <c r="BA116" t="s">
        <v>80</v>
      </c>
      <c r="BB116" t="s">
        <v>79</v>
      </c>
      <c r="BD116" t="s">
        <v>79</v>
      </c>
      <c r="BG116" t="s">
        <v>82</v>
      </c>
      <c r="BH116">
        <v>12</v>
      </c>
      <c r="BI116" t="s">
        <v>1420</v>
      </c>
      <c r="BJ116" t="s">
        <v>1421</v>
      </c>
      <c r="BK116" t="str">
        <f>"I Fadang"</f>
        <v>I Fadang</v>
      </c>
      <c r="BL116" t="str">
        <f>"Saipan International Airport"</f>
        <v>Saipan International Airport</v>
      </c>
      <c r="BM116" t="str">
        <f>"Saipan"</f>
        <v>Saipan</v>
      </c>
      <c r="BO116" t="s">
        <v>83</v>
      </c>
      <c r="BP116" s="4" t="str">
        <f t="shared" si="72"/>
        <v>96950</v>
      </c>
      <c r="BQ116" t="s">
        <v>79</v>
      </c>
      <c r="BR116" t="str">
        <f>"15-1232.00"</f>
        <v>15-1232.00</v>
      </c>
      <c r="BS116" t="s">
        <v>678</v>
      </c>
      <c r="BT116" s="3">
        <v>12.78</v>
      </c>
      <c r="BU116" t="s">
        <v>80</v>
      </c>
      <c r="BV116" t="s">
        <v>90</v>
      </c>
      <c r="BW116" t="s">
        <v>92</v>
      </c>
      <c r="BZ116" s="1">
        <v>45107</v>
      </c>
    </row>
    <row r="117" spans="1:78" ht="15" customHeight="1" x14ac:dyDescent="0.25">
      <c r="A117" t="s">
        <v>1423</v>
      </c>
      <c r="B117" t="s">
        <v>94</v>
      </c>
      <c r="C117" s="1">
        <v>44866</v>
      </c>
      <c r="D117" s="1">
        <v>44907</v>
      </c>
      <c r="H117" t="s">
        <v>78</v>
      </c>
      <c r="I117" t="str">
        <f>"FERNANDEZ"</f>
        <v>FERNANDEZ</v>
      </c>
      <c r="J117" t="str">
        <f>"TERESITA"</f>
        <v>TERESITA</v>
      </c>
      <c r="K117" t="str">
        <f>"MANARANG"</f>
        <v>MANARANG</v>
      </c>
      <c r="L117" t="str">
        <f>"VICE PRESIDENT"</f>
        <v>VICE PRESIDENT</v>
      </c>
      <c r="M117" t="str">
        <f>"P.O. BOX 502706, AS PERDIDO ROAD"</f>
        <v>P.O. BOX 502706, AS PERDIDO ROAD</v>
      </c>
      <c r="N117" t="str">
        <f>"CHALAN PIAO"</f>
        <v>CHALAN PIAO</v>
      </c>
      <c r="O117" t="str">
        <f>"SAIPAN"</f>
        <v>SAIPAN</v>
      </c>
      <c r="P117" t="str">
        <f t="shared" si="69"/>
        <v>MP</v>
      </c>
      <c r="Q117" s="4" t="str">
        <f t="shared" si="70"/>
        <v>96950</v>
      </c>
      <c r="R117" t="str">
        <f t="shared" si="25"/>
        <v>UNITED STATES OF AMERICA</v>
      </c>
      <c r="S117" t="str">
        <f>"MP"</f>
        <v>MP</v>
      </c>
      <c r="T117" s="5" t="str">
        <f>"16702351024"</f>
        <v>16702351024</v>
      </c>
      <c r="U117" t="str">
        <f>""</f>
        <v/>
      </c>
      <c r="V117" s="5" t="str">
        <f>""</f>
        <v/>
      </c>
      <c r="W117" t="str">
        <f>"tfcgeneralconstruction@yahoo.com"</f>
        <v>tfcgeneralconstruction@yahoo.com</v>
      </c>
      <c r="X117" t="str">
        <f>"TFC CORPORATION"</f>
        <v>TFC CORPORATION</v>
      </c>
      <c r="Y117" t="str">
        <f>"AIRCONDITIONING AND REFRIGERATION REPAIR SERVICES"</f>
        <v>AIRCONDITIONING AND REFRIGERATION REPAIR SERVICES</v>
      </c>
      <c r="Z117" t="str">
        <f>"P.O. BOX 502706, AS PERDIDO ROAD"</f>
        <v>P.O. BOX 502706, AS PERDIDO ROAD</v>
      </c>
      <c r="AA117" t="str">
        <f>"CHALAN PIAO"</f>
        <v>CHALAN PIAO</v>
      </c>
      <c r="AB117" t="str">
        <f>"SAIPAN"</f>
        <v>SAIPAN</v>
      </c>
      <c r="AC117" t="str">
        <f t="shared" si="26"/>
        <v>MP</v>
      </c>
      <c r="AD117" t="str">
        <f t="shared" si="71"/>
        <v>96950</v>
      </c>
      <c r="AE117" t="str">
        <f t="shared" si="27"/>
        <v>UNITED STATES OF AMERICA</v>
      </c>
      <c r="AF117" t="str">
        <f>"MP"</f>
        <v>MP</v>
      </c>
      <c r="AG117" s="4" t="str">
        <f>"16702351024"</f>
        <v>16702351024</v>
      </c>
      <c r="AH117" t="str">
        <f>""</f>
        <v/>
      </c>
      <c r="AI117" t="str">
        <f>"811412"</f>
        <v>811412</v>
      </c>
      <c r="AJ117" t="s">
        <v>79</v>
      </c>
      <c r="AK117" t="s">
        <v>79</v>
      </c>
      <c r="AL117" t="s">
        <v>80</v>
      </c>
      <c r="AM117" t="s">
        <v>79</v>
      </c>
      <c r="AP117" t="str">
        <f>"REFRIGERATION TECHNICIAN"</f>
        <v>REFRIGERATION TECHNICIAN</v>
      </c>
      <c r="AQ117" t="str">
        <f>"49-9021.00"</f>
        <v>49-9021.00</v>
      </c>
      <c r="AR117" t="str">
        <f>"Heating, Air Conditioning, and Refrigeration Mechanics and Installers"</f>
        <v>Heating, Air Conditioning, and Refrigeration Mechanics and Installers</v>
      </c>
      <c r="AS117" t="str">
        <f>"MANAGER"</f>
        <v>MANAGER</v>
      </c>
      <c r="AT117" t="s">
        <v>79</v>
      </c>
      <c r="AU117" t="str">
        <f>""</f>
        <v/>
      </c>
      <c r="AV117" t="str">
        <f>""</f>
        <v/>
      </c>
      <c r="AW117" t="s">
        <v>79</v>
      </c>
      <c r="AX117" t="str">
        <f>""</f>
        <v/>
      </c>
      <c r="AY117" t="s">
        <v>84</v>
      </c>
      <c r="BA117" t="s">
        <v>80</v>
      </c>
      <c r="BB117" t="s">
        <v>79</v>
      </c>
      <c r="BD117" t="s">
        <v>79</v>
      </c>
      <c r="BG117" t="s">
        <v>82</v>
      </c>
      <c r="BH117">
        <v>12</v>
      </c>
      <c r="BI117" t="s">
        <v>1424</v>
      </c>
      <c r="BJ117" t="s">
        <v>1425</v>
      </c>
      <c r="BK117" t="str">
        <f>"AS PERDIDO ROAD"</f>
        <v>AS PERDIDO ROAD</v>
      </c>
      <c r="BL117" t="str">
        <f>"CHALAN PIAO"</f>
        <v>CHALAN PIAO</v>
      </c>
      <c r="BM117" t="str">
        <f>"SAIPAN"</f>
        <v>SAIPAN</v>
      </c>
      <c r="BO117" t="s">
        <v>83</v>
      </c>
      <c r="BP117" s="4" t="str">
        <f t="shared" si="72"/>
        <v>96950</v>
      </c>
      <c r="BQ117" t="s">
        <v>79</v>
      </c>
      <c r="BR117" t="str">
        <f>"49-9021.00"</f>
        <v>49-9021.00</v>
      </c>
      <c r="BS117" t="s">
        <v>177</v>
      </c>
      <c r="BT117" s="3">
        <v>9.6999999999999993</v>
      </c>
      <c r="BU117" t="s">
        <v>80</v>
      </c>
      <c r="BV117" t="s">
        <v>90</v>
      </c>
      <c r="BW117" t="s">
        <v>92</v>
      </c>
      <c r="BZ117" s="1">
        <v>45107</v>
      </c>
    </row>
    <row r="118" spans="1:78" ht="15" customHeight="1" x14ac:dyDescent="0.25">
      <c r="A118" t="s">
        <v>1426</v>
      </c>
      <c r="B118" t="s">
        <v>94</v>
      </c>
      <c r="C118" s="1">
        <v>44866</v>
      </c>
      <c r="D118" s="1">
        <v>44907</v>
      </c>
      <c r="H118" t="s">
        <v>78</v>
      </c>
      <c r="I118" t="str">
        <f>"FERNANDEZ"</f>
        <v>FERNANDEZ</v>
      </c>
      <c r="J118" t="str">
        <f>"TERESITA"</f>
        <v>TERESITA</v>
      </c>
      <c r="K118" t="str">
        <f>"MANARANG"</f>
        <v>MANARANG</v>
      </c>
      <c r="L118" t="str">
        <f>"VICE PRESIDENT"</f>
        <v>VICE PRESIDENT</v>
      </c>
      <c r="M118" t="str">
        <f>"P.O. BOX 502706, AS PERDIDO ROAD"</f>
        <v>P.O. BOX 502706, AS PERDIDO ROAD</v>
      </c>
      <c r="N118" t="str">
        <f>"CHALAN PIAO"</f>
        <v>CHALAN PIAO</v>
      </c>
      <c r="O118" t="str">
        <f>"SAIPAN"</f>
        <v>SAIPAN</v>
      </c>
      <c r="P118" t="str">
        <f t="shared" si="69"/>
        <v>MP</v>
      </c>
      <c r="Q118" s="4" t="str">
        <f t="shared" si="70"/>
        <v>96950</v>
      </c>
      <c r="R118" t="str">
        <f t="shared" si="25"/>
        <v>UNITED STATES OF AMERICA</v>
      </c>
      <c r="S118" t="str">
        <f>"MP"</f>
        <v>MP</v>
      </c>
      <c r="T118" s="5" t="str">
        <f>"16702351024"</f>
        <v>16702351024</v>
      </c>
      <c r="U118" t="str">
        <f>""</f>
        <v/>
      </c>
      <c r="V118" s="5" t="str">
        <f>""</f>
        <v/>
      </c>
      <c r="W118" t="str">
        <f>"tfcgeneralconstruction@yahoo.com"</f>
        <v>tfcgeneralconstruction@yahoo.com</v>
      </c>
      <c r="X118" t="str">
        <f>"TFC CORPROATION"</f>
        <v>TFC CORPROATION</v>
      </c>
      <c r="Y118" t="str">
        <f>"ELECTRONIC AND PRECISION EQUIPMENT MAINTENANCE REPAIR SERVICES"</f>
        <v>ELECTRONIC AND PRECISION EQUIPMENT MAINTENANCE REPAIR SERVICES</v>
      </c>
      <c r="Z118" t="str">
        <f>"P.O. BOX 502706, AS PERDIDO ROAD"</f>
        <v>P.O. BOX 502706, AS PERDIDO ROAD</v>
      </c>
      <c r="AA118" t="str">
        <f>"CHALAN PIAO"</f>
        <v>CHALAN PIAO</v>
      </c>
      <c r="AB118" t="str">
        <f>"SAIPAN"</f>
        <v>SAIPAN</v>
      </c>
      <c r="AC118" t="str">
        <f t="shared" si="26"/>
        <v>MP</v>
      </c>
      <c r="AD118" t="str">
        <f t="shared" si="71"/>
        <v>96950</v>
      </c>
      <c r="AE118" t="str">
        <f t="shared" si="27"/>
        <v>UNITED STATES OF AMERICA</v>
      </c>
      <c r="AF118" t="str">
        <f>"MP"</f>
        <v>MP</v>
      </c>
      <c r="AG118" s="4" t="str">
        <f>"16702351024"</f>
        <v>16702351024</v>
      </c>
      <c r="AH118" t="str">
        <f>""</f>
        <v/>
      </c>
      <c r="AI118" t="str">
        <f>"81121"</f>
        <v>81121</v>
      </c>
      <c r="AJ118" t="s">
        <v>79</v>
      </c>
      <c r="AK118" t="s">
        <v>79</v>
      </c>
      <c r="AL118" t="s">
        <v>80</v>
      </c>
      <c r="AM118" t="s">
        <v>79</v>
      </c>
      <c r="AP118" t="str">
        <f>"MAINTENANCE WORKER"</f>
        <v>MAINTENANCE WORKER</v>
      </c>
      <c r="AQ118" t="str">
        <f>"49-9071.00"</f>
        <v>49-9071.00</v>
      </c>
      <c r="AR118" t="str">
        <f>"Maintenance and Repair Workers, General"</f>
        <v>Maintenance and Repair Workers, General</v>
      </c>
      <c r="AS118" t="str">
        <f>"MANAGER"</f>
        <v>MANAGER</v>
      </c>
      <c r="AT118" t="s">
        <v>79</v>
      </c>
      <c r="AU118" t="str">
        <f>""</f>
        <v/>
      </c>
      <c r="AV118" t="str">
        <f>""</f>
        <v/>
      </c>
      <c r="AW118" t="s">
        <v>79</v>
      </c>
      <c r="AX118" t="str">
        <f>""</f>
        <v/>
      </c>
      <c r="AY118" t="s">
        <v>84</v>
      </c>
      <c r="BA118" t="s">
        <v>80</v>
      </c>
      <c r="BB118" t="s">
        <v>79</v>
      </c>
      <c r="BD118" t="s">
        <v>79</v>
      </c>
      <c r="BG118" t="s">
        <v>82</v>
      </c>
      <c r="BH118">
        <v>12</v>
      </c>
      <c r="BI118" t="s">
        <v>1221</v>
      </c>
      <c r="BJ118" t="s">
        <v>1427</v>
      </c>
      <c r="BK118" t="str">
        <f>" AS PERDIDO ROAD"</f>
        <v xml:space="preserve"> AS PERDIDO ROAD</v>
      </c>
      <c r="BL118" t="str">
        <f>"CHALAN PIAO"</f>
        <v>CHALAN PIAO</v>
      </c>
      <c r="BM118" t="str">
        <f>"SAIPAN"</f>
        <v>SAIPAN</v>
      </c>
      <c r="BO118" t="s">
        <v>83</v>
      </c>
      <c r="BP118" s="4" t="str">
        <f t="shared" si="72"/>
        <v>96950</v>
      </c>
      <c r="BQ118" t="s">
        <v>79</v>
      </c>
      <c r="BR118" t="str">
        <f>"49-9071.00"</f>
        <v>49-9071.00</v>
      </c>
      <c r="BS118" t="s">
        <v>146</v>
      </c>
      <c r="BT118" s="3">
        <v>9.19</v>
      </c>
      <c r="BU118" t="s">
        <v>80</v>
      </c>
      <c r="BV118" t="s">
        <v>90</v>
      </c>
      <c r="BW118" t="s">
        <v>92</v>
      </c>
      <c r="BZ118" s="1">
        <v>45107</v>
      </c>
    </row>
    <row r="119" spans="1:78" ht="15" customHeight="1" x14ac:dyDescent="0.25">
      <c r="A119" t="s">
        <v>1428</v>
      </c>
      <c r="B119" t="s">
        <v>94</v>
      </c>
      <c r="C119" s="1">
        <v>44866</v>
      </c>
      <c r="D119" s="1">
        <v>44907</v>
      </c>
      <c r="H119" t="s">
        <v>78</v>
      </c>
      <c r="I119" t="str">
        <f>"FERNANDEZ"</f>
        <v>FERNANDEZ</v>
      </c>
      <c r="J119" t="str">
        <f>"TERESITA"</f>
        <v>TERESITA</v>
      </c>
      <c r="K119" t="str">
        <f>"MANARANG"</f>
        <v>MANARANG</v>
      </c>
      <c r="L119" t="str">
        <f>"VICE PRESIUDENT"</f>
        <v>VICE PRESIUDENT</v>
      </c>
      <c r="M119" t="str">
        <f>"P.O. BOX 502706, AS PERDIDO ROAD"</f>
        <v>P.O. BOX 502706, AS PERDIDO ROAD</v>
      </c>
      <c r="N119" t="str">
        <f>"CHALAN PIAO"</f>
        <v>CHALAN PIAO</v>
      </c>
      <c r="O119" t="str">
        <f>"SAIPAN"</f>
        <v>SAIPAN</v>
      </c>
      <c r="P119" t="str">
        <f t="shared" si="69"/>
        <v>MP</v>
      </c>
      <c r="Q119" s="4" t="str">
        <f t="shared" si="70"/>
        <v>96950</v>
      </c>
      <c r="R119" t="str">
        <f t="shared" si="25"/>
        <v>UNITED STATES OF AMERICA</v>
      </c>
      <c r="S119" t="str">
        <f>"MP"</f>
        <v>MP</v>
      </c>
      <c r="T119" s="5" t="str">
        <f>"16702351024"</f>
        <v>16702351024</v>
      </c>
      <c r="U119" t="str">
        <f>""</f>
        <v/>
      </c>
      <c r="V119" s="5" t="str">
        <f>""</f>
        <v/>
      </c>
      <c r="W119" t="str">
        <f>"tfcgeneralconstruction@yahoo.com"</f>
        <v>tfcgeneralconstruction@yahoo.com</v>
      </c>
      <c r="X119" t="str">
        <f>"TFC CORPORATION"</f>
        <v>TFC CORPORATION</v>
      </c>
      <c r="Y119" t="str">
        <f>"GENERAL CONSTRUCTION CONTRACTOR"</f>
        <v>GENERAL CONSTRUCTION CONTRACTOR</v>
      </c>
      <c r="Z119" t="str">
        <f>"P.O. BOX 502706, AS PERDIDO ROAD"</f>
        <v>P.O. BOX 502706, AS PERDIDO ROAD</v>
      </c>
      <c r="AA119" t="str">
        <f>"CHALAN PIAO"</f>
        <v>CHALAN PIAO</v>
      </c>
      <c r="AB119" t="str">
        <f>"SAIPAN"</f>
        <v>SAIPAN</v>
      </c>
      <c r="AC119" t="str">
        <f t="shared" si="26"/>
        <v>MP</v>
      </c>
      <c r="AD119" t="str">
        <f t="shared" si="71"/>
        <v>96950</v>
      </c>
      <c r="AE119" t="str">
        <f t="shared" si="27"/>
        <v>UNITED STATES OF AMERICA</v>
      </c>
      <c r="AF119" t="str">
        <f>"MP"</f>
        <v>MP</v>
      </c>
      <c r="AG119" s="4" t="str">
        <f>"16702351024"</f>
        <v>16702351024</v>
      </c>
      <c r="AH119" t="str">
        <f>""</f>
        <v/>
      </c>
      <c r="AI119" t="str">
        <f>"236116"</f>
        <v>236116</v>
      </c>
      <c r="AJ119" t="s">
        <v>79</v>
      </c>
      <c r="AK119" t="s">
        <v>79</v>
      </c>
      <c r="AL119" t="s">
        <v>80</v>
      </c>
      <c r="AM119" t="s">
        <v>79</v>
      </c>
      <c r="AP119" t="str">
        <f>"MAINTENANCE WORKER (BUILDING MAINTENANCE AND REPAIR SERVICES"</f>
        <v>MAINTENANCE WORKER (BUILDING MAINTENANCE AND REPAIR SERVICES</v>
      </c>
      <c r="AQ119" t="str">
        <f>"49-9071.00"</f>
        <v>49-9071.00</v>
      </c>
      <c r="AR119" t="str">
        <f>"Maintenance and Repair Workers, General"</f>
        <v>Maintenance and Repair Workers, General</v>
      </c>
      <c r="AS119" t="str">
        <f>"MANAGER"</f>
        <v>MANAGER</v>
      </c>
      <c r="AT119" t="s">
        <v>79</v>
      </c>
      <c r="AU119" t="str">
        <f>""</f>
        <v/>
      </c>
      <c r="AV119" t="str">
        <f>""</f>
        <v/>
      </c>
      <c r="AW119" t="s">
        <v>79</v>
      </c>
      <c r="AX119" t="str">
        <f>""</f>
        <v/>
      </c>
      <c r="AY119" t="s">
        <v>84</v>
      </c>
      <c r="BA119" t="s">
        <v>80</v>
      </c>
      <c r="BB119" t="s">
        <v>79</v>
      </c>
      <c r="BD119" t="s">
        <v>79</v>
      </c>
      <c r="BG119" t="s">
        <v>82</v>
      </c>
      <c r="BH119">
        <v>12</v>
      </c>
      <c r="BI119" t="s">
        <v>1429</v>
      </c>
      <c r="BJ119" t="s">
        <v>1430</v>
      </c>
      <c r="BK119" t="str">
        <f>"AS PERDIDO ROAD"</f>
        <v>AS PERDIDO ROAD</v>
      </c>
      <c r="BL119" t="str">
        <f>"CHALAN PIAO"</f>
        <v>CHALAN PIAO</v>
      </c>
      <c r="BM119" t="str">
        <f>"SAIPAN"</f>
        <v>SAIPAN</v>
      </c>
      <c r="BO119" t="s">
        <v>83</v>
      </c>
      <c r="BP119" s="4" t="str">
        <f t="shared" si="72"/>
        <v>96950</v>
      </c>
      <c r="BQ119" t="s">
        <v>79</v>
      </c>
      <c r="BR119" t="str">
        <f>"49-9071.00"</f>
        <v>49-9071.00</v>
      </c>
      <c r="BS119" t="s">
        <v>146</v>
      </c>
      <c r="BT119" s="3">
        <v>9.19</v>
      </c>
      <c r="BU119" t="s">
        <v>80</v>
      </c>
      <c r="BV119" t="s">
        <v>90</v>
      </c>
      <c r="BW119" t="s">
        <v>92</v>
      </c>
      <c r="BZ119" s="1">
        <v>45107</v>
      </c>
    </row>
    <row r="120" spans="1:78" ht="15" customHeight="1" x14ac:dyDescent="0.25">
      <c r="A120" t="s">
        <v>1348</v>
      </c>
      <c r="B120" t="s">
        <v>94</v>
      </c>
      <c r="C120" s="1">
        <v>44865</v>
      </c>
      <c r="D120" s="1">
        <v>44907</v>
      </c>
      <c r="H120" t="s">
        <v>78</v>
      </c>
      <c r="I120" t="str">
        <f t="shared" ref="I120:I127" si="73">"PARK"</f>
        <v>PARK</v>
      </c>
      <c r="J120" t="str">
        <f t="shared" ref="J120:J129" si="74">"EUN PYUNG "</f>
        <v xml:space="preserve">EUN PYUNG </v>
      </c>
      <c r="K120" t="str">
        <f>""</f>
        <v/>
      </c>
      <c r="L120" t="str">
        <f>"GENERAL MANAGER "</f>
        <v xml:space="preserve">GENERAL MANAGER </v>
      </c>
      <c r="M120" t="str">
        <f>"4940 AS GONNO RD. KOBLERVILLE"</f>
        <v>4940 AS GONNO RD. KOBLERVILLE</v>
      </c>
      <c r="N120" t="str">
        <f t="shared" ref="N120:N129" si="75">"P.O BOX 501160"</f>
        <v>P.O BOX 501160</v>
      </c>
      <c r="O120" t="str">
        <f t="shared" ref="O120:O129" si="76">"SAIPAN "</f>
        <v xml:space="preserve">SAIPAN </v>
      </c>
      <c r="P120" t="str">
        <f t="shared" si="69"/>
        <v>MP</v>
      </c>
      <c r="Q120" s="4" t="str">
        <f t="shared" si="70"/>
        <v>96950</v>
      </c>
      <c r="R120" t="str">
        <f t="shared" si="25"/>
        <v>UNITED STATES OF AMERICA</v>
      </c>
      <c r="S120" t="str">
        <f>""</f>
        <v/>
      </c>
      <c r="T120" s="5" t="str">
        <f t="shared" ref="T120:T129" si="77">"16702347000"</f>
        <v>16702347000</v>
      </c>
      <c r="U120" t="str">
        <f>""</f>
        <v/>
      </c>
      <c r="V120" s="5" t="str">
        <f>""</f>
        <v/>
      </c>
      <c r="W120" t="str">
        <f t="shared" ref="W120:W129" si="78">"hr@coraloceansaipan.com"</f>
        <v>hr@coraloceansaipan.com</v>
      </c>
      <c r="X120" t="str">
        <f t="shared" ref="X120:X129" si="79">"SUWASO CORPORATION "</f>
        <v xml:space="preserve">SUWASO CORPORATION </v>
      </c>
      <c r="Y120" t="str">
        <f t="shared" ref="Y120:Y126" si="80">"CORAL OCEAN RESORT "</f>
        <v xml:space="preserve">CORAL OCEAN RESORT </v>
      </c>
      <c r="Z120" t="str">
        <f>"4940 AS GONNO RD. KOBLERVILLE"</f>
        <v>4940 AS GONNO RD. KOBLERVILLE</v>
      </c>
      <c r="AA120" t="str">
        <f t="shared" ref="AA120:AA128" si="81">"P.O BOX 501160"</f>
        <v>P.O BOX 501160</v>
      </c>
      <c r="AB120" t="str">
        <f t="shared" ref="AB120:AB129" si="82">"SAIPAN "</f>
        <v xml:space="preserve">SAIPAN </v>
      </c>
      <c r="AC120" t="str">
        <f t="shared" si="26"/>
        <v>MP</v>
      </c>
      <c r="AD120" t="str">
        <f t="shared" si="71"/>
        <v>96950</v>
      </c>
      <c r="AE120" t="str">
        <f t="shared" si="27"/>
        <v>UNITED STATES OF AMERICA</v>
      </c>
      <c r="AF120" t="str">
        <f>""</f>
        <v/>
      </c>
      <c r="AG120" s="4" t="str">
        <f t="shared" ref="AG120:AG129" si="83">"16702347000"</f>
        <v>16702347000</v>
      </c>
      <c r="AH120" t="str">
        <f>""</f>
        <v/>
      </c>
      <c r="AI120" t="str">
        <f t="shared" ref="AI120:AI129" si="84">"721110"</f>
        <v>721110</v>
      </c>
      <c r="AJ120" t="s">
        <v>79</v>
      </c>
      <c r="AK120" t="s">
        <v>79</v>
      </c>
      <c r="AL120" t="s">
        <v>80</v>
      </c>
      <c r="AM120" t="s">
        <v>79</v>
      </c>
      <c r="AP120" t="str">
        <f>"RESERVATION AGENT "</f>
        <v xml:space="preserve">RESERVATION AGENT </v>
      </c>
      <c r="AQ120" t="str">
        <f>"43-4181.00"</f>
        <v>43-4181.00</v>
      </c>
      <c r="AR120" t="str">
        <f>"Reservation and Transportation Ticket Agents and Travel Clerks"</f>
        <v>Reservation and Transportation Ticket Agents and Travel Clerks</v>
      </c>
      <c r="AS120" t="str">
        <f>"FRONT OFFICE MANAGER"</f>
        <v>FRONT OFFICE MANAGER</v>
      </c>
      <c r="AT120" t="s">
        <v>79</v>
      </c>
      <c r="AU120" t="str">
        <f>""</f>
        <v/>
      </c>
      <c r="AV120" t="str">
        <f>""</f>
        <v/>
      </c>
      <c r="AW120" t="s">
        <v>79</v>
      </c>
      <c r="AX120" t="str">
        <f>""</f>
        <v/>
      </c>
      <c r="AY120" t="s">
        <v>84</v>
      </c>
      <c r="BA120" t="s">
        <v>80</v>
      </c>
      <c r="BB120" t="s">
        <v>79</v>
      </c>
      <c r="BD120" t="s">
        <v>79</v>
      </c>
      <c r="BG120" t="s">
        <v>82</v>
      </c>
      <c r="BH120">
        <v>12</v>
      </c>
      <c r="BI120" t="s">
        <v>1349</v>
      </c>
      <c r="BJ120" s="2" t="s">
        <v>1350</v>
      </c>
      <c r="BK120" t="str">
        <f t="shared" ref="BK120:BK129" si="85">"4940 AS GONNO RD. KOBLERVILLE "</f>
        <v xml:space="preserve">4940 AS GONNO RD. KOBLERVILLE </v>
      </c>
      <c r="BL120" t="str">
        <f t="shared" ref="BL120:BL129" si="86">"P.O BOX 501160"</f>
        <v>P.O BOX 501160</v>
      </c>
      <c r="BM120" t="str">
        <f t="shared" ref="BM120:BM129" si="87">"SAIPAN "</f>
        <v xml:space="preserve">SAIPAN </v>
      </c>
      <c r="BO120" t="s">
        <v>83</v>
      </c>
      <c r="BP120" s="4" t="str">
        <f t="shared" si="72"/>
        <v>96950</v>
      </c>
      <c r="BQ120" t="s">
        <v>79</v>
      </c>
      <c r="BR120" t="str">
        <f>"43-4181.00"</f>
        <v>43-4181.00</v>
      </c>
      <c r="BS120" t="s">
        <v>1351</v>
      </c>
      <c r="BT120" s="3">
        <v>8.4600000000000009</v>
      </c>
      <c r="BU120" t="s">
        <v>80</v>
      </c>
      <c r="BV120" t="s">
        <v>90</v>
      </c>
      <c r="BW120" t="s">
        <v>92</v>
      </c>
      <c r="BZ120" s="1">
        <v>45107</v>
      </c>
    </row>
    <row r="121" spans="1:78" ht="15" customHeight="1" x14ac:dyDescent="0.25">
      <c r="A121" t="s">
        <v>1352</v>
      </c>
      <c r="B121" t="s">
        <v>94</v>
      </c>
      <c r="C121" s="1">
        <v>44865</v>
      </c>
      <c r="D121" s="1">
        <v>44907</v>
      </c>
      <c r="H121" t="s">
        <v>78</v>
      </c>
      <c r="I121" t="str">
        <f t="shared" si="73"/>
        <v>PARK</v>
      </c>
      <c r="J121" t="str">
        <f t="shared" si="74"/>
        <v xml:space="preserve">EUN PYUNG </v>
      </c>
      <c r="K121" t="str">
        <f>""</f>
        <v/>
      </c>
      <c r="L121" t="str">
        <f>"GENERAL MANAGER "</f>
        <v xml:space="preserve">GENERAL MANAGER </v>
      </c>
      <c r="M121" t="str">
        <f t="shared" ref="M121:M129" si="88">"4940 AS GONNO RD. KOBLERVILLE "</f>
        <v xml:space="preserve">4940 AS GONNO RD. KOBLERVILLE </v>
      </c>
      <c r="N121" t="str">
        <f t="shared" si="75"/>
        <v>P.O BOX 501160</v>
      </c>
      <c r="O121" t="str">
        <f t="shared" si="76"/>
        <v xml:space="preserve">SAIPAN </v>
      </c>
      <c r="P121" t="str">
        <f t="shared" si="69"/>
        <v>MP</v>
      </c>
      <c r="Q121" s="4" t="str">
        <f t="shared" si="70"/>
        <v>96950</v>
      </c>
      <c r="R121" t="str">
        <f t="shared" si="25"/>
        <v>UNITED STATES OF AMERICA</v>
      </c>
      <c r="S121" t="str">
        <f>""</f>
        <v/>
      </c>
      <c r="T121" s="5" t="str">
        <f t="shared" si="77"/>
        <v>16702347000</v>
      </c>
      <c r="U121" t="str">
        <f>""</f>
        <v/>
      </c>
      <c r="V121" s="5" t="str">
        <f>""</f>
        <v/>
      </c>
      <c r="W121" t="str">
        <f t="shared" si="78"/>
        <v>hr@coraloceansaipan.com</v>
      </c>
      <c r="X121" t="str">
        <f t="shared" si="79"/>
        <v xml:space="preserve">SUWASO CORPORATION </v>
      </c>
      <c r="Y121" t="str">
        <f t="shared" si="80"/>
        <v xml:space="preserve">CORAL OCEAN RESORT </v>
      </c>
      <c r="Z121" t="str">
        <f t="shared" ref="Z121:Z127" si="89">"4940 AS GONNO RD. KOBLERVILLE "</f>
        <v xml:space="preserve">4940 AS GONNO RD. KOBLERVILLE </v>
      </c>
      <c r="AA121" t="str">
        <f t="shared" si="81"/>
        <v>P.O BOX 501160</v>
      </c>
      <c r="AB121" t="str">
        <f t="shared" si="82"/>
        <v xml:space="preserve">SAIPAN </v>
      </c>
      <c r="AC121" t="str">
        <f t="shared" si="26"/>
        <v>MP</v>
      </c>
      <c r="AD121" t="str">
        <f t="shared" si="71"/>
        <v>96950</v>
      </c>
      <c r="AE121" t="str">
        <f t="shared" si="27"/>
        <v>UNITED STATES OF AMERICA</v>
      </c>
      <c r="AF121" t="str">
        <f>""</f>
        <v/>
      </c>
      <c r="AG121" s="4" t="str">
        <f t="shared" si="83"/>
        <v>16702347000</v>
      </c>
      <c r="AH121" t="str">
        <f>""</f>
        <v/>
      </c>
      <c r="AI121" t="str">
        <f t="shared" si="84"/>
        <v>721110</v>
      </c>
      <c r="AJ121" t="s">
        <v>79</v>
      </c>
      <c r="AK121" t="s">
        <v>79</v>
      </c>
      <c r="AL121" t="s">
        <v>80</v>
      </c>
      <c r="AM121" t="s">
        <v>79</v>
      </c>
      <c r="AP121" t="str">
        <f>"CHEF DE PARTIE"</f>
        <v>CHEF DE PARTIE</v>
      </c>
      <c r="AQ121" t="str">
        <f>"35-1012.00"</f>
        <v>35-1012.00</v>
      </c>
      <c r="AR121" t="str">
        <f>"First-Line Supervisors of Food Preparation and Serving Workers"</f>
        <v>First-Line Supervisors of Food Preparation and Serving Workers</v>
      </c>
      <c r="AS121" t="str">
        <f>"EXECUTIVE CHEF"</f>
        <v>EXECUTIVE CHEF</v>
      </c>
      <c r="AT121" t="s">
        <v>82</v>
      </c>
      <c r="AU121" t="str">
        <f>"10"</f>
        <v>10</v>
      </c>
      <c r="AV121" t="str">
        <f>"Subordinate"</f>
        <v>Subordinate</v>
      </c>
      <c r="AW121" t="s">
        <v>79</v>
      </c>
      <c r="AX121" t="str">
        <f>""</f>
        <v/>
      </c>
      <c r="AY121" t="s">
        <v>84</v>
      </c>
      <c r="BA121" t="s">
        <v>80</v>
      </c>
      <c r="BB121" t="s">
        <v>79</v>
      </c>
      <c r="BD121" t="s">
        <v>79</v>
      </c>
      <c r="BG121" t="s">
        <v>82</v>
      </c>
      <c r="BH121">
        <v>24</v>
      </c>
      <c r="BI121" t="s">
        <v>1353</v>
      </c>
      <c r="BJ121" s="2" t="s">
        <v>1354</v>
      </c>
      <c r="BK121" t="str">
        <f t="shared" si="85"/>
        <v xml:space="preserve">4940 AS GONNO RD. KOBLERVILLE </v>
      </c>
      <c r="BL121" t="str">
        <f t="shared" si="86"/>
        <v>P.O BOX 501160</v>
      </c>
      <c r="BM121" t="str">
        <f t="shared" si="87"/>
        <v xml:space="preserve">SAIPAN </v>
      </c>
      <c r="BO121" t="s">
        <v>83</v>
      </c>
      <c r="BP121" s="4" t="str">
        <f t="shared" si="72"/>
        <v>96950</v>
      </c>
      <c r="BQ121" t="s">
        <v>79</v>
      </c>
      <c r="BR121" t="str">
        <f>"35-1012.00"</f>
        <v>35-1012.00</v>
      </c>
      <c r="BS121" t="s">
        <v>694</v>
      </c>
      <c r="BT121" s="3">
        <v>9.75</v>
      </c>
      <c r="BU121" t="s">
        <v>80</v>
      </c>
      <c r="BV121" t="s">
        <v>90</v>
      </c>
      <c r="BW121" t="s">
        <v>92</v>
      </c>
      <c r="BZ121" s="1">
        <v>45107</v>
      </c>
    </row>
    <row r="122" spans="1:78" ht="15" customHeight="1" x14ac:dyDescent="0.25">
      <c r="A122" t="s">
        <v>1355</v>
      </c>
      <c r="B122" t="s">
        <v>94</v>
      </c>
      <c r="C122" s="1">
        <v>44865</v>
      </c>
      <c r="D122" s="1">
        <v>44907</v>
      </c>
      <c r="H122" t="s">
        <v>78</v>
      </c>
      <c r="I122" t="str">
        <f t="shared" si="73"/>
        <v>PARK</v>
      </c>
      <c r="J122" t="str">
        <f t="shared" si="74"/>
        <v xml:space="preserve">EUN PYUNG </v>
      </c>
      <c r="K122" t="str">
        <f>""</f>
        <v/>
      </c>
      <c r="L122" t="str">
        <f>"GENERAL MANAGER "</f>
        <v xml:space="preserve">GENERAL MANAGER </v>
      </c>
      <c r="M122" t="str">
        <f t="shared" si="88"/>
        <v xml:space="preserve">4940 AS GONNO RD. KOBLERVILLE </v>
      </c>
      <c r="N122" t="str">
        <f t="shared" si="75"/>
        <v>P.O BOX 501160</v>
      </c>
      <c r="O122" t="str">
        <f t="shared" si="76"/>
        <v xml:space="preserve">SAIPAN </v>
      </c>
      <c r="P122" t="str">
        <f t="shared" si="69"/>
        <v>MP</v>
      </c>
      <c r="Q122" s="4" t="str">
        <f t="shared" si="70"/>
        <v>96950</v>
      </c>
      <c r="R122" t="str">
        <f t="shared" si="25"/>
        <v>UNITED STATES OF AMERICA</v>
      </c>
      <c r="S122" t="str">
        <f>""</f>
        <v/>
      </c>
      <c r="T122" s="5" t="str">
        <f t="shared" si="77"/>
        <v>16702347000</v>
      </c>
      <c r="U122" t="str">
        <f>""</f>
        <v/>
      </c>
      <c r="V122" s="5" t="str">
        <f>""</f>
        <v/>
      </c>
      <c r="W122" t="str">
        <f t="shared" si="78"/>
        <v>hr@coraloceansaipan.com</v>
      </c>
      <c r="X122" t="str">
        <f t="shared" si="79"/>
        <v xml:space="preserve">SUWASO CORPORATION </v>
      </c>
      <c r="Y122" t="str">
        <f t="shared" si="80"/>
        <v xml:space="preserve">CORAL OCEAN RESORT </v>
      </c>
      <c r="Z122" t="str">
        <f t="shared" si="89"/>
        <v xml:space="preserve">4940 AS GONNO RD. KOBLERVILLE </v>
      </c>
      <c r="AA122" t="str">
        <f t="shared" si="81"/>
        <v>P.O BOX 501160</v>
      </c>
      <c r="AB122" t="str">
        <f t="shared" si="82"/>
        <v xml:space="preserve">SAIPAN </v>
      </c>
      <c r="AC122" t="str">
        <f t="shared" si="26"/>
        <v>MP</v>
      </c>
      <c r="AD122" t="str">
        <f t="shared" si="71"/>
        <v>96950</v>
      </c>
      <c r="AE122" t="str">
        <f t="shared" si="27"/>
        <v>UNITED STATES OF AMERICA</v>
      </c>
      <c r="AF122" t="str">
        <f>""</f>
        <v/>
      </c>
      <c r="AG122" s="4" t="str">
        <f t="shared" si="83"/>
        <v>16702347000</v>
      </c>
      <c r="AH122" t="str">
        <f>""</f>
        <v/>
      </c>
      <c r="AI122" t="str">
        <f t="shared" si="84"/>
        <v>721110</v>
      </c>
      <c r="AJ122" t="s">
        <v>79</v>
      </c>
      <c r="AK122" t="s">
        <v>79</v>
      </c>
      <c r="AL122" t="s">
        <v>80</v>
      </c>
      <c r="AM122" t="s">
        <v>79</v>
      </c>
      <c r="AP122" t="str">
        <f>"GENERAL MAINTENANCE"</f>
        <v>GENERAL MAINTENANCE</v>
      </c>
      <c r="AQ122" t="str">
        <f>"49-9071.00"</f>
        <v>49-9071.00</v>
      </c>
      <c r="AR122" t="str">
        <f>"Maintenance and Repair Workers, General"</f>
        <v>Maintenance and Repair Workers, General</v>
      </c>
      <c r="AS122" t="str">
        <f>"ENGINEERING MANAGER "</f>
        <v xml:space="preserve">ENGINEERING MANAGER </v>
      </c>
      <c r="AT122" t="s">
        <v>79</v>
      </c>
      <c r="AU122" t="str">
        <f>""</f>
        <v/>
      </c>
      <c r="AV122" t="str">
        <f>""</f>
        <v/>
      </c>
      <c r="AW122" t="s">
        <v>79</v>
      </c>
      <c r="AX122" t="str">
        <f>""</f>
        <v/>
      </c>
      <c r="AY122" t="s">
        <v>84</v>
      </c>
      <c r="BA122" t="s">
        <v>80</v>
      </c>
      <c r="BB122" t="s">
        <v>79</v>
      </c>
      <c r="BD122" t="s">
        <v>79</v>
      </c>
      <c r="BG122" t="s">
        <v>82</v>
      </c>
      <c r="BH122">
        <v>12</v>
      </c>
      <c r="BI122" t="s">
        <v>1356</v>
      </c>
      <c r="BJ122" s="2" t="s">
        <v>1357</v>
      </c>
      <c r="BK122" t="str">
        <f t="shared" si="85"/>
        <v xml:space="preserve">4940 AS GONNO RD. KOBLERVILLE </v>
      </c>
      <c r="BL122" t="str">
        <f t="shared" si="86"/>
        <v>P.O BOX 501160</v>
      </c>
      <c r="BM122" t="str">
        <f t="shared" si="87"/>
        <v xml:space="preserve">SAIPAN </v>
      </c>
      <c r="BO122" t="s">
        <v>83</v>
      </c>
      <c r="BP122" s="4" t="str">
        <f t="shared" si="72"/>
        <v>96950</v>
      </c>
      <c r="BQ122" t="s">
        <v>79</v>
      </c>
      <c r="BR122" t="str">
        <f>"49-9071.00"</f>
        <v>49-9071.00</v>
      </c>
      <c r="BS122" t="s">
        <v>146</v>
      </c>
      <c r="BT122" s="3">
        <v>9.19</v>
      </c>
      <c r="BU122" t="s">
        <v>80</v>
      </c>
      <c r="BV122" t="s">
        <v>90</v>
      </c>
      <c r="BW122" t="s">
        <v>92</v>
      </c>
      <c r="BZ122" s="1">
        <v>45107</v>
      </c>
    </row>
    <row r="123" spans="1:78" ht="15" customHeight="1" x14ac:dyDescent="0.25">
      <c r="A123" t="s">
        <v>1358</v>
      </c>
      <c r="B123" t="s">
        <v>94</v>
      </c>
      <c r="C123" s="1">
        <v>44865</v>
      </c>
      <c r="D123" s="1">
        <v>44907</v>
      </c>
      <c r="H123" t="s">
        <v>78</v>
      </c>
      <c r="I123" t="str">
        <f t="shared" si="73"/>
        <v>PARK</v>
      </c>
      <c r="J123" t="str">
        <f t="shared" si="74"/>
        <v xml:space="preserve">EUN PYUNG </v>
      </c>
      <c r="K123" t="str">
        <f>""</f>
        <v/>
      </c>
      <c r="L123" t="str">
        <f>"GENERAL MANAGER "</f>
        <v xml:space="preserve">GENERAL MANAGER </v>
      </c>
      <c r="M123" t="str">
        <f t="shared" si="88"/>
        <v xml:space="preserve">4940 AS GONNO RD. KOBLERVILLE </v>
      </c>
      <c r="N123" t="str">
        <f t="shared" si="75"/>
        <v>P.O BOX 501160</v>
      </c>
      <c r="O123" t="str">
        <f t="shared" si="76"/>
        <v xml:space="preserve">SAIPAN </v>
      </c>
      <c r="P123" t="str">
        <f t="shared" si="69"/>
        <v>MP</v>
      </c>
      <c r="Q123" s="4" t="str">
        <f t="shared" si="70"/>
        <v>96950</v>
      </c>
      <c r="R123" t="str">
        <f t="shared" si="25"/>
        <v>UNITED STATES OF AMERICA</v>
      </c>
      <c r="S123" t="str">
        <f>""</f>
        <v/>
      </c>
      <c r="T123" s="5" t="str">
        <f t="shared" si="77"/>
        <v>16702347000</v>
      </c>
      <c r="U123" t="str">
        <f>""</f>
        <v/>
      </c>
      <c r="V123" s="5" t="str">
        <f>""</f>
        <v/>
      </c>
      <c r="W123" t="str">
        <f t="shared" si="78"/>
        <v>hr@coraloceansaipan.com</v>
      </c>
      <c r="X123" t="str">
        <f t="shared" si="79"/>
        <v xml:space="preserve">SUWASO CORPORATION </v>
      </c>
      <c r="Y123" t="str">
        <f t="shared" si="80"/>
        <v xml:space="preserve">CORAL OCEAN RESORT </v>
      </c>
      <c r="Z123" t="str">
        <f t="shared" si="89"/>
        <v xml:space="preserve">4940 AS GONNO RD. KOBLERVILLE </v>
      </c>
      <c r="AA123" t="str">
        <f t="shared" si="81"/>
        <v>P.O BOX 501160</v>
      </c>
      <c r="AB123" t="str">
        <f t="shared" si="82"/>
        <v xml:space="preserve">SAIPAN </v>
      </c>
      <c r="AC123" t="str">
        <f t="shared" si="26"/>
        <v>MP</v>
      </c>
      <c r="AD123" t="str">
        <f t="shared" si="71"/>
        <v>96950</v>
      </c>
      <c r="AE123" t="str">
        <f t="shared" si="27"/>
        <v>UNITED STATES OF AMERICA</v>
      </c>
      <c r="AF123" t="str">
        <f>""</f>
        <v/>
      </c>
      <c r="AG123" s="4" t="str">
        <f t="shared" si="83"/>
        <v>16702347000</v>
      </c>
      <c r="AH123" t="str">
        <f>""</f>
        <v/>
      </c>
      <c r="AI123" t="str">
        <f t="shared" si="84"/>
        <v>721110</v>
      </c>
      <c r="AJ123" t="s">
        <v>79</v>
      </c>
      <c r="AK123" t="s">
        <v>79</v>
      </c>
      <c r="AL123" t="s">
        <v>80</v>
      </c>
      <c r="AM123" t="s">
        <v>79</v>
      </c>
      <c r="AP123" t="str">
        <f>"COOK"</f>
        <v>COOK</v>
      </c>
      <c r="AQ123" t="str">
        <f>"35-2014.00"</f>
        <v>35-2014.00</v>
      </c>
      <c r="AR123" t="str">
        <f>"Cooks, Restaurant"</f>
        <v>Cooks, Restaurant</v>
      </c>
      <c r="AS123" t="str">
        <f>"EXECUTIVE CHEF "</f>
        <v xml:space="preserve">EXECUTIVE CHEF </v>
      </c>
      <c r="AT123" t="s">
        <v>79</v>
      </c>
      <c r="AU123" t="str">
        <f>""</f>
        <v/>
      </c>
      <c r="AV123" t="str">
        <f>""</f>
        <v/>
      </c>
      <c r="AW123" t="s">
        <v>79</v>
      </c>
      <c r="AX123" t="str">
        <f>""</f>
        <v/>
      </c>
      <c r="AY123" t="s">
        <v>84</v>
      </c>
      <c r="BA123" t="s">
        <v>80</v>
      </c>
      <c r="BB123" t="s">
        <v>79</v>
      </c>
      <c r="BD123" t="s">
        <v>79</v>
      </c>
      <c r="BG123" t="s">
        <v>82</v>
      </c>
      <c r="BH123">
        <v>12</v>
      </c>
      <c r="BI123" t="s">
        <v>1359</v>
      </c>
      <c r="BJ123" s="2" t="s">
        <v>1360</v>
      </c>
      <c r="BK123" t="str">
        <f t="shared" si="85"/>
        <v xml:space="preserve">4940 AS GONNO RD. KOBLERVILLE </v>
      </c>
      <c r="BL123" t="str">
        <f t="shared" si="86"/>
        <v>P.O BOX 501160</v>
      </c>
      <c r="BM123" t="str">
        <f t="shared" si="87"/>
        <v xml:space="preserve">SAIPAN </v>
      </c>
      <c r="BO123" t="s">
        <v>83</v>
      </c>
      <c r="BP123" s="4" t="str">
        <f t="shared" si="72"/>
        <v>96950</v>
      </c>
      <c r="BQ123" t="s">
        <v>79</v>
      </c>
      <c r="BR123" t="str">
        <f>"35-2014.00"</f>
        <v>35-2014.00</v>
      </c>
      <c r="BS123" t="s">
        <v>117</v>
      </c>
      <c r="BT123" s="3">
        <v>8.5500000000000007</v>
      </c>
      <c r="BU123" t="s">
        <v>80</v>
      </c>
      <c r="BV123" t="s">
        <v>90</v>
      </c>
      <c r="BW123" t="s">
        <v>92</v>
      </c>
      <c r="BZ123" s="1">
        <v>45107</v>
      </c>
    </row>
    <row r="124" spans="1:78" ht="15" customHeight="1" x14ac:dyDescent="0.25">
      <c r="A124" t="s">
        <v>1361</v>
      </c>
      <c r="B124" t="s">
        <v>94</v>
      </c>
      <c r="C124" s="1">
        <v>44865</v>
      </c>
      <c r="D124" s="1">
        <v>44907</v>
      </c>
      <c r="H124" t="s">
        <v>78</v>
      </c>
      <c r="I124" t="str">
        <f t="shared" si="73"/>
        <v>PARK</v>
      </c>
      <c r="J124" t="str">
        <f t="shared" si="74"/>
        <v xml:space="preserve">EUN PYUNG </v>
      </c>
      <c r="K124" t="str">
        <f>""</f>
        <v/>
      </c>
      <c r="L124" t="str">
        <f>"GENERAL MANAGER "</f>
        <v xml:space="preserve">GENERAL MANAGER </v>
      </c>
      <c r="M124" t="str">
        <f t="shared" si="88"/>
        <v xml:space="preserve">4940 AS GONNO RD. KOBLERVILLE </v>
      </c>
      <c r="N124" t="str">
        <f t="shared" si="75"/>
        <v>P.O BOX 501160</v>
      </c>
      <c r="O124" t="str">
        <f t="shared" si="76"/>
        <v xml:space="preserve">SAIPAN </v>
      </c>
      <c r="P124" t="str">
        <f t="shared" si="69"/>
        <v>MP</v>
      </c>
      <c r="Q124" s="4" t="str">
        <f t="shared" si="70"/>
        <v>96950</v>
      </c>
      <c r="R124" t="str">
        <f t="shared" si="25"/>
        <v>UNITED STATES OF AMERICA</v>
      </c>
      <c r="S124" t="str">
        <f>""</f>
        <v/>
      </c>
      <c r="T124" s="5" t="str">
        <f t="shared" si="77"/>
        <v>16702347000</v>
      </c>
      <c r="U124" t="str">
        <f>""</f>
        <v/>
      </c>
      <c r="V124" s="5" t="str">
        <f>""</f>
        <v/>
      </c>
      <c r="W124" t="str">
        <f t="shared" si="78"/>
        <v>hr@coraloceansaipan.com</v>
      </c>
      <c r="X124" t="str">
        <f t="shared" si="79"/>
        <v xml:space="preserve">SUWASO CORPORATION </v>
      </c>
      <c r="Y124" t="str">
        <f t="shared" si="80"/>
        <v xml:space="preserve">CORAL OCEAN RESORT </v>
      </c>
      <c r="Z124" t="str">
        <f t="shared" si="89"/>
        <v xml:space="preserve">4940 AS GONNO RD. KOBLERVILLE </v>
      </c>
      <c r="AA124" t="str">
        <f t="shared" si="81"/>
        <v>P.O BOX 501160</v>
      </c>
      <c r="AB124" t="str">
        <f t="shared" si="82"/>
        <v xml:space="preserve">SAIPAN </v>
      </c>
      <c r="AC124" t="str">
        <f t="shared" si="26"/>
        <v>MP</v>
      </c>
      <c r="AD124" t="str">
        <f t="shared" si="71"/>
        <v>96950</v>
      </c>
      <c r="AE124" t="str">
        <f t="shared" si="27"/>
        <v>UNITED STATES OF AMERICA</v>
      </c>
      <c r="AF124" t="str">
        <f>""</f>
        <v/>
      </c>
      <c r="AG124" s="4" t="str">
        <f t="shared" si="83"/>
        <v>16702347000</v>
      </c>
      <c r="AH124" t="str">
        <f>""</f>
        <v/>
      </c>
      <c r="AI124" t="str">
        <f t="shared" si="84"/>
        <v>721110</v>
      </c>
      <c r="AJ124" t="s">
        <v>79</v>
      </c>
      <c r="AK124" t="s">
        <v>79</v>
      </c>
      <c r="AL124" t="s">
        <v>80</v>
      </c>
      <c r="AM124" t="s">
        <v>79</v>
      </c>
      <c r="AP124" t="str">
        <f>"GREENSKEEPER"</f>
        <v>GREENSKEEPER</v>
      </c>
      <c r="AQ124" t="str">
        <f>"37-3011.00"</f>
        <v>37-3011.00</v>
      </c>
      <c r="AR124" t="str">
        <f>"Landscaping and Groundskeeping Workers"</f>
        <v>Landscaping and Groundskeeping Workers</v>
      </c>
      <c r="AS124" t="str">
        <f>"GROUNDSKEEPING SUPERVISOR"</f>
        <v>GROUNDSKEEPING SUPERVISOR</v>
      </c>
      <c r="AT124" t="s">
        <v>79</v>
      </c>
      <c r="AU124" t="str">
        <f>""</f>
        <v/>
      </c>
      <c r="AV124" t="str">
        <f>""</f>
        <v/>
      </c>
      <c r="AW124" t="s">
        <v>79</v>
      </c>
      <c r="AX124" t="str">
        <f>""</f>
        <v/>
      </c>
      <c r="AY124" t="s">
        <v>84</v>
      </c>
      <c r="BA124" t="s">
        <v>80</v>
      </c>
      <c r="BB124" t="s">
        <v>79</v>
      </c>
      <c r="BD124" t="s">
        <v>79</v>
      </c>
      <c r="BG124" t="s">
        <v>82</v>
      </c>
      <c r="BH124">
        <v>12</v>
      </c>
      <c r="BI124" t="s">
        <v>1018</v>
      </c>
      <c r="BJ124" s="2" t="s">
        <v>1362</v>
      </c>
      <c r="BK124" t="str">
        <f t="shared" si="85"/>
        <v xml:space="preserve">4940 AS GONNO RD. KOBLERVILLE </v>
      </c>
      <c r="BL124" t="str">
        <f t="shared" si="86"/>
        <v>P.O BOX 501160</v>
      </c>
      <c r="BM124" t="str">
        <f t="shared" si="87"/>
        <v xml:space="preserve">SAIPAN </v>
      </c>
      <c r="BO124" t="s">
        <v>83</v>
      </c>
      <c r="BP124" s="4" t="str">
        <f t="shared" si="72"/>
        <v>96950</v>
      </c>
      <c r="BQ124" t="s">
        <v>79</v>
      </c>
      <c r="BR124" t="str">
        <f>"37-3011.00"</f>
        <v>37-3011.00</v>
      </c>
      <c r="BS124" t="s">
        <v>122</v>
      </c>
      <c r="BT124" s="3">
        <v>8.1300000000000008</v>
      </c>
      <c r="BU124" t="s">
        <v>80</v>
      </c>
      <c r="BV124" t="s">
        <v>90</v>
      </c>
      <c r="BW124" t="s">
        <v>92</v>
      </c>
      <c r="BZ124" s="1">
        <v>45107</v>
      </c>
    </row>
    <row r="125" spans="1:78" ht="15" customHeight="1" x14ac:dyDescent="0.25">
      <c r="A125" t="s">
        <v>1363</v>
      </c>
      <c r="B125" t="s">
        <v>94</v>
      </c>
      <c r="C125" s="1">
        <v>44865</v>
      </c>
      <c r="D125" s="1">
        <v>44907</v>
      </c>
      <c r="H125" t="s">
        <v>78</v>
      </c>
      <c r="I125" t="str">
        <f t="shared" si="73"/>
        <v>PARK</v>
      </c>
      <c r="J125" t="str">
        <f t="shared" si="74"/>
        <v xml:space="preserve">EUN PYUNG </v>
      </c>
      <c r="K125" t="str">
        <f>""</f>
        <v/>
      </c>
      <c r="L125" t="str">
        <f>"GENERAL MANAGER"</f>
        <v>GENERAL MANAGER</v>
      </c>
      <c r="M125" t="str">
        <f t="shared" si="88"/>
        <v xml:space="preserve">4940 AS GONNO RD. KOBLERVILLE </v>
      </c>
      <c r="N125" t="str">
        <f t="shared" si="75"/>
        <v>P.O BOX 501160</v>
      </c>
      <c r="O125" t="str">
        <f t="shared" si="76"/>
        <v xml:space="preserve">SAIPAN </v>
      </c>
      <c r="P125" t="str">
        <f t="shared" si="69"/>
        <v>MP</v>
      </c>
      <c r="Q125" s="4" t="str">
        <f t="shared" si="70"/>
        <v>96950</v>
      </c>
      <c r="R125" t="str">
        <f t="shared" si="25"/>
        <v>UNITED STATES OF AMERICA</v>
      </c>
      <c r="S125" t="str">
        <f>""</f>
        <v/>
      </c>
      <c r="T125" s="5" t="str">
        <f t="shared" si="77"/>
        <v>16702347000</v>
      </c>
      <c r="U125" t="str">
        <f>""</f>
        <v/>
      </c>
      <c r="V125" s="5" t="str">
        <f>""</f>
        <v/>
      </c>
      <c r="W125" t="str">
        <f t="shared" si="78"/>
        <v>hr@coraloceansaipan.com</v>
      </c>
      <c r="X125" t="str">
        <f t="shared" si="79"/>
        <v xml:space="preserve">SUWASO CORPORATION </v>
      </c>
      <c r="Y125" t="str">
        <f t="shared" si="80"/>
        <v xml:space="preserve">CORAL OCEAN RESORT </v>
      </c>
      <c r="Z125" t="str">
        <f t="shared" si="89"/>
        <v xml:space="preserve">4940 AS GONNO RD. KOBLERVILLE </v>
      </c>
      <c r="AA125" t="str">
        <f t="shared" si="81"/>
        <v>P.O BOX 501160</v>
      </c>
      <c r="AB125" t="str">
        <f t="shared" si="82"/>
        <v xml:space="preserve">SAIPAN </v>
      </c>
      <c r="AC125" t="str">
        <f t="shared" si="26"/>
        <v>MP</v>
      </c>
      <c r="AD125" t="str">
        <f t="shared" si="71"/>
        <v>96950</v>
      </c>
      <c r="AE125" t="str">
        <f t="shared" si="27"/>
        <v>UNITED STATES OF AMERICA</v>
      </c>
      <c r="AF125" t="str">
        <f>""</f>
        <v/>
      </c>
      <c r="AG125" s="4" t="str">
        <f t="shared" si="83"/>
        <v>16702347000</v>
      </c>
      <c r="AH125" t="str">
        <f>""</f>
        <v/>
      </c>
      <c r="AI125" t="str">
        <f t="shared" si="84"/>
        <v>721110</v>
      </c>
      <c r="AJ125" t="s">
        <v>79</v>
      </c>
      <c r="AK125" t="s">
        <v>79</v>
      </c>
      <c r="AL125" t="s">
        <v>80</v>
      </c>
      <c r="AM125" t="s">
        <v>79</v>
      </c>
      <c r="AP125" t="str">
        <f>"GROUNDSKEEPING SUPERVISOR "</f>
        <v xml:space="preserve">GROUNDSKEEPING SUPERVISOR </v>
      </c>
      <c r="AQ125" t="str">
        <f>"37-1012.00"</f>
        <v>37-1012.00</v>
      </c>
      <c r="AR125" t="str">
        <f>"First-Line Supervisors of Landscaping, Lawn Service, and Groundskeeping Workers"</f>
        <v>First-Line Supervisors of Landscaping, Lawn Service, and Groundskeeping Workers</v>
      </c>
      <c r="AS125" t="str">
        <f>"GOLF COURSE MANAGER "</f>
        <v xml:space="preserve">GOLF COURSE MANAGER </v>
      </c>
      <c r="AT125" t="s">
        <v>82</v>
      </c>
      <c r="AU125" t="str">
        <f>"15"</f>
        <v>15</v>
      </c>
      <c r="AV125" t="str">
        <f>"Subordinate"</f>
        <v>Subordinate</v>
      </c>
      <c r="AW125" t="s">
        <v>79</v>
      </c>
      <c r="AX125" t="str">
        <f>""</f>
        <v/>
      </c>
      <c r="AY125" t="s">
        <v>84</v>
      </c>
      <c r="BA125" t="s">
        <v>80</v>
      </c>
      <c r="BB125" t="s">
        <v>79</v>
      </c>
      <c r="BD125" t="s">
        <v>79</v>
      </c>
      <c r="BG125" t="s">
        <v>82</v>
      </c>
      <c r="BH125">
        <v>24</v>
      </c>
      <c r="BI125" t="s">
        <v>1364</v>
      </c>
      <c r="BJ125" s="2" t="s">
        <v>1365</v>
      </c>
      <c r="BK125" t="str">
        <f t="shared" si="85"/>
        <v xml:space="preserve">4940 AS GONNO RD. KOBLERVILLE </v>
      </c>
      <c r="BL125" t="str">
        <f t="shared" si="86"/>
        <v>P.O BOX 501160</v>
      </c>
      <c r="BM125" t="str">
        <f t="shared" si="87"/>
        <v xml:space="preserve">SAIPAN </v>
      </c>
      <c r="BO125" t="s">
        <v>83</v>
      </c>
      <c r="BP125" s="4" t="str">
        <f t="shared" si="72"/>
        <v>96950</v>
      </c>
      <c r="BQ125" t="s">
        <v>79</v>
      </c>
      <c r="BR125" t="str">
        <f>"37-1012.00"</f>
        <v>37-1012.00</v>
      </c>
      <c r="BS125" t="s">
        <v>1029</v>
      </c>
      <c r="BT125" s="3">
        <v>10.14</v>
      </c>
      <c r="BU125" t="s">
        <v>80</v>
      </c>
      <c r="BV125" t="s">
        <v>90</v>
      </c>
      <c r="BW125" t="s">
        <v>92</v>
      </c>
      <c r="BZ125" s="1">
        <v>45107</v>
      </c>
    </row>
    <row r="126" spans="1:78" ht="15" customHeight="1" x14ac:dyDescent="0.25">
      <c r="A126" t="s">
        <v>1366</v>
      </c>
      <c r="B126" t="s">
        <v>94</v>
      </c>
      <c r="C126" s="1">
        <v>44865</v>
      </c>
      <c r="D126" s="1">
        <v>44907</v>
      </c>
      <c r="H126" t="s">
        <v>78</v>
      </c>
      <c r="I126" t="str">
        <f t="shared" si="73"/>
        <v>PARK</v>
      </c>
      <c r="J126" t="str">
        <f t="shared" si="74"/>
        <v xml:space="preserve">EUN PYUNG </v>
      </c>
      <c r="K126" t="str">
        <f>""</f>
        <v/>
      </c>
      <c r="L126" t="str">
        <f>"GENERAL MANAGER "</f>
        <v xml:space="preserve">GENERAL MANAGER </v>
      </c>
      <c r="M126" t="str">
        <f t="shared" si="88"/>
        <v xml:space="preserve">4940 AS GONNO RD. KOBLERVILLE </v>
      </c>
      <c r="N126" t="str">
        <f t="shared" si="75"/>
        <v>P.O BOX 501160</v>
      </c>
      <c r="O126" t="str">
        <f t="shared" si="76"/>
        <v xml:space="preserve">SAIPAN </v>
      </c>
      <c r="P126" t="str">
        <f t="shared" si="69"/>
        <v>MP</v>
      </c>
      <c r="Q126" s="4" t="str">
        <f t="shared" si="70"/>
        <v>96950</v>
      </c>
      <c r="R126" t="str">
        <f t="shared" si="25"/>
        <v>UNITED STATES OF AMERICA</v>
      </c>
      <c r="S126" t="str">
        <f>""</f>
        <v/>
      </c>
      <c r="T126" s="5" t="str">
        <f t="shared" si="77"/>
        <v>16702347000</v>
      </c>
      <c r="U126" t="str">
        <f>""</f>
        <v/>
      </c>
      <c r="V126" s="5" t="str">
        <f>""</f>
        <v/>
      </c>
      <c r="W126" t="str">
        <f t="shared" si="78"/>
        <v>hr@coraloceansaipan.com</v>
      </c>
      <c r="X126" t="str">
        <f t="shared" si="79"/>
        <v xml:space="preserve">SUWASO CORPORATION </v>
      </c>
      <c r="Y126" t="str">
        <f t="shared" si="80"/>
        <v xml:space="preserve">CORAL OCEAN RESORT </v>
      </c>
      <c r="Z126" t="str">
        <f t="shared" si="89"/>
        <v xml:space="preserve">4940 AS GONNO RD. KOBLERVILLE </v>
      </c>
      <c r="AA126" t="str">
        <f t="shared" si="81"/>
        <v>P.O BOX 501160</v>
      </c>
      <c r="AB126" t="str">
        <f t="shared" si="82"/>
        <v xml:space="preserve">SAIPAN </v>
      </c>
      <c r="AC126" t="str">
        <f t="shared" si="26"/>
        <v>MP</v>
      </c>
      <c r="AD126" t="str">
        <f t="shared" si="71"/>
        <v>96950</v>
      </c>
      <c r="AE126" t="str">
        <f t="shared" si="27"/>
        <v>UNITED STATES OF AMERICA</v>
      </c>
      <c r="AF126" t="str">
        <f>""</f>
        <v/>
      </c>
      <c r="AG126" s="4" t="str">
        <f t="shared" si="83"/>
        <v>16702347000</v>
      </c>
      <c r="AH126" t="str">
        <f>""</f>
        <v/>
      </c>
      <c r="AI126" t="str">
        <f t="shared" si="84"/>
        <v>721110</v>
      </c>
      <c r="AJ126" t="s">
        <v>79</v>
      </c>
      <c r="AK126" t="s">
        <v>79</v>
      </c>
      <c r="AL126" t="s">
        <v>80</v>
      </c>
      <c r="AM126" t="s">
        <v>79</v>
      </c>
      <c r="AP126" t="str">
        <f>"GUEST SERVICE REPRESENTATIVE "</f>
        <v xml:space="preserve">GUEST SERVICE REPRESENTATIVE </v>
      </c>
      <c r="AQ126" t="str">
        <f>"43-4081.00"</f>
        <v>43-4081.00</v>
      </c>
      <c r="AR126" t="str">
        <f>"Hotel, Motel, and Resort Desk Clerks"</f>
        <v>Hotel, Motel, and Resort Desk Clerks</v>
      </c>
      <c r="AS126" t="str">
        <f>"FRONT OFFICE MANAGER "</f>
        <v xml:space="preserve">FRONT OFFICE MANAGER </v>
      </c>
      <c r="AT126" t="s">
        <v>79</v>
      </c>
      <c r="AU126" t="str">
        <f>""</f>
        <v/>
      </c>
      <c r="AV126" t="str">
        <f>""</f>
        <v/>
      </c>
      <c r="AW126" t="s">
        <v>79</v>
      </c>
      <c r="AX126" t="str">
        <f>""</f>
        <v/>
      </c>
      <c r="AY126" t="s">
        <v>84</v>
      </c>
      <c r="BA126" t="s">
        <v>80</v>
      </c>
      <c r="BB126" t="s">
        <v>79</v>
      </c>
      <c r="BD126" t="s">
        <v>79</v>
      </c>
      <c r="BG126" t="s">
        <v>82</v>
      </c>
      <c r="BH126">
        <v>12</v>
      </c>
      <c r="BI126" t="s">
        <v>1367</v>
      </c>
      <c r="BJ126" s="2" t="s">
        <v>1368</v>
      </c>
      <c r="BK126" t="str">
        <f t="shared" si="85"/>
        <v xml:space="preserve">4940 AS GONNO RD. KOBLERVILLE </v>
      </c>
      <c r="BL126" t="str">
        <f t="shared" si="86"/>
        <v>P.O BOX 501160</v>
      </c>
      <c r="BM126" t="str">
        <f t="shared" si="87"/>
        <v xml:space="preserve">SAIPAN </v>
      </c>
      <c r="BO126" t="s">
        <v>83</v>
      </c>
      <c r="BP126" s="4" t="str">
        <f t="shared" si="72"/>
        <v>96950</v>
      </c>
      <c r="BQ126" t="s">
        <v>79</v>
      </c>
      <c r="BR126" t="str">
        <f>"43-4081.00"</f>
        <v>43-4081.00</v>
      </c>
      <c r="BS126" t="s">
        <v>563</v>
      </c>
      <c r="BT126" s="3">
        <v>8.08</v>
      </c>
      <c r="BU126" t="s">
        <v>80</v>
      </c>
      <c r="BV126" t="s">
        <v>90</v>
      </c>
      <c r="BW126" t="s">
        <v>92</v>
      </c>
      <c r="BZ126" s="1">
        <v>45107</v>
      </c>
    </row>
    <row r="127" spans="1:78" ht="15" customHeight="1" x14ac:dyDescent="0.25">
      <c r="A127" t="s">
        <v>1369</v>
      </c>
      <c r="B127" t="s">
        <v>94</v>
      </c>
      <c r="C127" s="1">
        <v>44865</v>
      </c>
      <c r="D127" s="1">
        <v>44907</v>
      </c>
      <c r="H127" t="s">
        <v>78</v>
      </c>
      <c r="I127" t="str">
        <f t="shared" si="73"/>
        <v>PARK</v>
      </c>
      <c r="J127" t="str">
        <f t="shared" si="74"/>
        <v xml:space="preserve">EUN PYUNG </v>
      </c>
      <c r="K127" t="str">
        <f>""</f>
        <v/>
      </c>
      <c r="L127" t="str">
        <f>"GENERAL MANAGER "</f>
        <v xml:space="preserve">GENERAL MANAGER </v>
      </c>
      <c r="M127" t="str">
        <f t="shared" si="88"/>
        <v xml:space="preserve">4940 AS GONNO RD. KOBLERVILLE </v>
      </c>
      <c r="N127" t="str">
        <f t="shared" si="75"/>
        <v>P.O BOX 501160</v>
      </c>
      <c r="O127" t="str">
        <f t="shared" si="76"/>
        <v xml:space="preserve">SAIPAN </v>
      </c>
      <c r="P127" t="str">
        <f t="shared" si="69"/>
        <v>MP</v>
      </c>
      <c r="Q127" s="4" t="str">
        <f t="shared" si="70"/>
        <v>96950</v>
      </c>
      <c r="R127" t="str">
        <f t="shared" si="25"/>
        <v>UNITED STATES OF AMERICA</v>
      </c>
      <c r="S127" t="str">
        <f>""</f>
        <v/>
      </c>
      <c r="T127" s="5" t="str">
        <f t="shared" si="77"/>
        <v>16702347000</v>
      </c>
      <c r="U127" t="str">
        <f>""</f>
        <v/>
      </c>
      <c r="V127" s="5" t="str">
        <f>""</f>
        <v/>
      </c>
      <c r="W127" t="str">
        <f t="shared" si="78"/>
        <v>hr@coraloceansaipan.com</v>
      </c>
      <c r="X127" t="str">
        <f t="shared" si="79"/>
        <v xml:space="preserve">SUWASO CORPORATION </v>
      </c>
      <c r="Y127" t="str">
        <f>"CORAL OCEAN RESORT"</f>
        <v>CORAL OCEAN RESORT</v>
      </c>
      <c r="Z127" t="str">
        <f t="shared" si="89"/>
        <v xml:space="preserve">4940 AS GONNO RD. KOBLERVILLE </v>
      </c>
      <c r="AA127" t="str">
        <f t="shared" si="81"/>
        <v>P.O BOX 501160</v>
      </c>
      <c r="AB127" t="str">
        <f t="shared" si="82"/>
        <v xml:space="preserve">SAIPAN </v>
      </c>
      <c r="AC127" t="str">
        <f t="shared" si="26"/>
        <v>MP</v>
      </c>
      <c r="AD127" t="str">
        <f t="shared" si="71"/>
        <v>96950</v>
      </c>
      <c r="AE127" t="str">
        <f t="shared" si="27"/>
        <v>UNITED STATES OF AMERICA</v>
      </c>
      <c r="AF127" t="str">
        <f>""</f>
        <v/>
      </c>
      <c r="AG127" s="4" t="str">
        <f t="shared" si="83"/>
        <v>16702347000</v>
      </c>
      <c r="AH127" t="str">
        <f>""</f>
        <v/>
      </c>
      <c r="AI127" t="str">
        <f t="shared" si="84"/>
        <v>721110</v>
      </c>
      <c r="AJ127" t="s">
        <v>79</v>
      </c>
      <c r="AK127" t="s">
        <v>79</v>
      </c>
      <c r="AL127" t="s">
        <v>80</v>
      </c>
      <c r="AM127" t="s">
        <v>79</v>
      </c>
      <c r="AP127" t="str">
        <f>"ROOM ATTENDANT"</f>
        <v>ROOM ATTENDANT</v>
      </c>
      <c r="AQ127" t="str">
        <f>"37-2012.00"</f>
        <v>37-2012.00</v>
      </c>
      <c r="AR127" t="str">
        <f>"Maids and Housekeeping Cleaners"</f>
        <v>Maids and Housekeeping Cleaners</v>
      </c>
      <c r="AS127" t="str">
        <f>"HOUSEKEEPING SUPERVISOR"</f>
        <v>HOUSEKEEPING SUPERVISOR</v>
      </c>
      <c r="AT127" t="s">
        <v>79</v>
      </c>
      <c r="AU127" t="str">
        <f>""</f>
        <v/>
      </c>
      <c r="AV127" t="str">
        <f>""</f>
        <v/>
      </c>
      <c r="AW127" t="s">
        <v>79</v>
      </c>
      <c r="AX127" t="str">
        <f>""</f>
        <v/>
      </c>
      <c r="AY127" t="s">
        <v>84</v>
      </c>
      <c r="BA127" t="s">
        <v>80</v>
      </c>
      <c r="BB127" t="s">
        <v>79</v>
      </c>
      <c r="BD127" t="s">
        <v>79</v>
      </c>
      <c r="BG127" t="s">
        <v>82</v>
      </c>
      <c r="BH127">
        <v>12</v>
      </c>
      <c r="BI127" t="s">
        <v>1370</v>
      </c>
      <c r="BJ127" s="2" t="s">
        <v>1371</v>
      </c>
      <c r="BK127" t="str">
        <f t="shared" si="85"/>
        <v xml:space="preserve">4940 AS GONNO RD. KOBLERVILLE </v>
      </c>
      <c r="BL127" t="str">
        <f t="shared" si="86"/>
        <v>P.O BOX 501160</v>
      </c>
      <c r="BM127" t="str">
        <f t="shared" si="87"/>
        <v xml:space="preserve">SAIPAN </v>
      </c>
      <c r="BO127" t="s">
        <v>83</v>
      </c>
      <c r="BP127" s="4" t="str">
        <f t="shared" si="72"/>
        <v>96950</v>
      </c>
      <c r="BQ127" t="s">
        <v>79</v>
      </c>
      <c r="BR127" t="str">
        <f>"37-2012.00"</f>
        <v>37-2012.00</v>
      </c>
      <c r="BS127" t="s">
        <v>109</v>
      </c>
      <c r="BT127" s="3">
        <v>7.56</v>
      </c>
      <c r="BU127" t="s">
        <v>80</v>
      </c>
      <c r="BV127" t="s">
        <v>90</v>
      </c>
      <c r="BW127" t="s">
        <v>92</v>
      </c>
      <c r="BZ127" s="1">
        <v>45107</v>
      </c>
    </row>
    <row r="128" spans="1:78" ht="15" customHeight="1" x14ac:dyDescent="0.25">
      <c r="A128" t="s">
        <v>1372</v>
      </c>
      <c r="B128" t="s">
        <v>94</v>
      </c>
      <c r="C128" s="1">
        <v>44865</v>
      </c>
      <c r="D128" s="1">
        <v>44907</v>
      </c>
      <c r="H128" t="s">
        <v>78</v>
      </c>
      <c r="I128" t="str">
        <f>"PARK "</f>
        <v xml:space="preserve">PARK </v>
      </c>
      <c r="J128" t="str">
        <f t="shared" si="74"/>
        <v xml:space="preserve">EUN PYUNG </v>
      </c>
      <c r="K128" t="str">
        <f>""</f>
        <v/>
      </c>
      <c r="L128" t="str">
        <f>"GENERAL MANAGER "</f>
        <v xml:space="preserve">GENERAL MANAGER </v>
      </c>
      <c r="M128" t="str">
        <f t="shared" si="88"/>
        <v xml:space="preserve">4940 AS GONNO RD. KOBLERVILLE </v>
      </c>
      <c r="N128" t="str">
        <f t="shared" si="75"/>
        <v>P.O BOX 501160</v>
      </c>
      <c r="O128" t="str">
        <f t="shared" si="76"/>
        <v xml:space="preserve">SAIPAN </v>
      </c>
      <c r="P128" t="str">
        <f t="shared" si="69"/>
        <v>MP</v>
      </c>
      <c r="Q128" s="4" t="str">
        <f t="shared" si="70"/>
        <v>96950</v>
      </c>
      <c r="R128" t="str">
        <f t="shared" si="25"/>
        <v>UNITED STATES OF AMERICA</v>
      </c>
      <c r="S128" t="str">
        <f>""</f>
        <v/>
      </c>
      <c r="T128" s="5" t="str">
        <f t="shared" si="77"/>
        <v>16702347000</v>
      </c>
      <c r="U128" t="str">
        <f>""</f>
        <v/>
      </c>
      <c r="V128" s="5" t="str">
        <f>""</f>
        <v/>
      </c>
      <c r="W128" t="str">
        <f t="shared" si="78"/>
        <v>hr@coraloceansaipan.com</v>
      </c>
      <c r="X128" t="str">
        <f t="shared" si="79"/>
        <v xml:space="preserve">SUWASO CORPORATION </v>
      </c>
      <c r="Y128" t="str">
        <f>"CORAL OCEAN RESORT "</f>
        <v xml:space="preserve">CORAL OCEAN RESORT </v>
      </c>
      <c r="Z128" t="str">
        <f>"4940 AS GONNO RD. KOBLERVILLE"</f>
        <v>4940 AS GONNO RD. KOBLERVILLE</v>
      </c>
      <c r="AA128" t="str">
        <f t="shared" si="81"/>
        <v>P.O BOX 501160</v>
      </c>
      <c r="AB128" t="str">
        <f t="shared" si="82"/>
        <v xml:space="preserve">SAIPAN </v>
      </c>
      <c r="AC128" t="str">
        <f t="shared" si="26"/>
        <v>MP</v>
      </c>
      <c r="AD128" t="str">
        <f t="shared" si="71"/>
        <v>96950</v>
      </c>
      <c r="AE128" t="str">
        <f t="shared" si="27"/>
        <v>UNITED STATES OF AMERICA</v>
      </c>
      <c r="AF128" t="str">
        <f>""</f>
        <v/>
      </c>
      <c r="AG128" s="4" t="str">
        <f t="shared" si="83"/>
        <v>16702347000</v>
      </c>
      <c r="AH128" t="str">
        <f>""</f>
        <v/>
      </c>
      <c r="AI128" t="str">
        <f t="shared" si="84"/>
        <v>721110</v>
      </c>
      <c r="AJ128" t="s">
        <v>79</v>
      </c>
      <c r="AK128" t="s">
        <v>79</v>
      </c>
      <c r="AL128" t="s">
        <v>80</v>
      </c>
      <c r="AM128" t="s">
        <v>79</v>
      </c>
      <c r="AP128" t="str">
        <f>"WAITRESS_WAITER"</f>
        <v>WAITRESS_WAITER</v>
      </c>
      <c r="AQ128" t="str">
        <f>"35-3031.00"</f>
        <v>35-3031.00</v>
      </c>
      <c r="AR128" t="str">
        <f>"Waiters and Waitresses"</f>
        <v>Waiters and Waitresses</v>
      </c>
      <c r="AS128" t="str">
        <f>"FOOD &amp; BEVERAGE MANAGER "</f>
        <v xml:space="preserve">FOOD &amp; BEVERAGE MANAGER </v>
      </c>
      <c r="AT128" t="s">
        <v>79</v>
      </c>
      <c r="AU128" t="str">
        <f>""</f>
        <v/>
      </c>
      <c r="AV128" t="str">
        <f>""</f>
        <v/>
      </c>
      <c r="AW128" t="s">
        <v>79</v>
      </c>
      <c r="AX128" t="str">
        <f>""</f>
        <v/>
      </c>
      <c r="AY128" t="s">
        <v>84</v>
      </c>
      <c r="BA128" t="s">
        <v>80</v>
      </c>
      <c r="BB128" t="s">
        <v>79</v>
      </c>
      <c r="BD128" t="s">
        <v>79</v>
      </c>
      <c r="BG128" t="s">
        <v>82</v>
      </c>
      <c r="BH128">
        <v>12</v>
      </c>
      <c r="BI128" t="s">
        <v>1373</v>
      </c>
      <c r="BJ128" s="2" t="s">
        <v>1374</v>
      </c>
      <c r="BK128" t="str">
        <f t="shared" si="85"/>
        <v xml:space="preserve">4940 AS GONNO RD. KOBLERVILLE </v>
      </c>
      <c r="BL128" t="str">
        <f t="shared" si="86"/>
        <v>P.O BOX 501160</v>
      </c>
      <c r="BM128" t="str">
        <f t="shared" si="87"/>
        <v xml:space="preserve">SAIPAN </v>
      </c>
      <c r="BO128" t="s">
        <v>83</v>
      </c>
      <c r="BP128" s="4" t="str">
        <f t="shared" si="72"/>
        <v>96950</v>
      </c>
      <c r="BQ128" t="s">
        <v>79</v>
      </c>
      <c r="BR128" t="str">
        <f>"35-3031.00"</f>
        <v>35-3031.00</v>
      </c>
      <c r="BS128" t="s">
        <v>761</v>
      </c>
      <c r="BT128" s="3">
        <v>8.17</v>
      </c>
      <c r="BU128" t="s">
        <v>80</v>
      </c>
      <c r="BV128" t="s">
        <v>90</v>
      </c>
      <c r="BW128" t="s">
        <v>92</v>
      </c>
      <c r="BZ128" s="1">
        <v>45107</v>
      </c>
    </row>
    <row r="129" spans="1:78" ht="15" customHeight="1" x14ac:dyDescent="0.25">
      <c r="A129" t="s">
        <v>1375</v>
      </c>
      <c r="B129" t="s">
        <v>94</v>
      </c>
      <c r="C129" s="1">
        <v>44865</v>
      </c>
      <c r="D129" s="1">
        <v>44907</v>
      </c>
      <c r="H129" t="s">
        <v>78</v>
      </c>
      <c r="I129" t="str">
        <f>"PARK"</f>
        <v>PARK</v>
      </c>
      <c r="J129" t="str">
        <f t="shared" si="74"/>
        <v xml:space="preserve">EUN PYUNG </v>
      </c>
      <c r="K129" t="str">
        <f>""</f>
        <v/>
      </c>
      <c r="L129" t="str">
        <f>"GENERAL MANAGER "</f>
        <v xml:space="preserve">GENERAL MANAGER </v>
      </c>
      <c r="M129" t="str">
        <f t="shared" si="88"/>
        <v xml:space="preserve">4940 AS GONNO RD. KOBLERVILLE </v>
      </c>
      <c r="N129" t="str">
        <f t="shared" si="75"/>
        <v>P.O BOX 501160</v>
      </c>
      <c r="O129" t="str">
        <f t="shared" si="76"/>
        <v xml:space="preserve">SAIPAN </v>
      </c>
      <c r="P129" t="str">
        <f t="shared" si="69"/>
        <v>MP</v>
      </c>
      <c r="Q129" s="4" t="str">
        <f t="shared" si="70"/>
        <v>96950</v>
      </c>
      <c r="R129" t="str">
        <f t="shared" si="25"/>
        <v>UNITED STATES OF AMERICA</v>
      </c>
      <c r="S129" t="str">
        <f>""</f>
        <v/>
      </c>
      <c r="T129" s="5" t="str">
        <f t="shared" si="77"/>
        <v>16702347000</v>
      </c>
      <c r="U129" t="str">
        <f>""</f>
        <v/>
      </c>
      <c r="V129" s="5" t="str">
        <f>""</f>
        <v/>
      </c>
      <c r="W129" t="str">
        <f t="shared" si="78"/>
        <v>hr@coraloceansaipan.com</v>
      </c>
      <c r="X129" t="str">
        <f t="shared" si="79"/>
        <v xml:space="preserve">SUWASO CORPORATION </v>
      </c>
      <c r="Y129" t="str">
        <f>"CORALOCEAN RESORT "</f>
        <v xml:space="preserve">CORALOCEAN RESORT </v>
      </c>
      <c r="Z129" t="str">
        <f>"4940 AS GONNO RD. KOBLERVILLE "</f>
        <v xml:space="preserve">4940 AS GONNO RD. KOBLERVILLE </v>
      </c>
      <c r="AA129" t="str">
        <f>"P.O BOX 501160 "</f>
        <v xml:space="preserve">P.O BOX 501160 </v>
      </c>
      <c r="AB129" t="str">
        <f t="shared" si="82"/>
        <v xml:space="preserve">SAIPAN </v>
      </c>
      <c r="AC129" t="str">
        <f t="shared" si="26"/>
        <v>MP</v>
      </c>
      <c r="AD129" t="str">
        <f t="shared" si="71"/>
        <v>96950</v>
      </c>
      <c r="AE129" t="str">
        <f t="shared" si="27"/>
        <v>UNITED STATES OF AMERICA</v>
      </c>
      <c r="AF129" t="str">
        <f>""</f>
        <v/>
      </c>
      <c r="AG129" s="4" t="str">
        <f t="shared" si="83"/>
        <v>16702347000</v>
      </c>
      <c r="AH129" t="str">
        <f>""</f>
        <v/>
      </c>
      <c r="AI129" t="str">
        <f t="shared" si="84"/>
        <v>721110</v>
      </c>
      <c r="AJ129" t="s">
        <v>79</v>
      </c>
      <c r="AK129" t="s">
        <v>79</v>
      </c>
      <c r="AL129" t="s">
        <v>80</v>
      </c>
      <c r="AM129" t="s">
        <v>79</v>
      </c>
      <c r="AP129" t="str">
        <f>"PASTRY SUPERVISOR "</f>
        <v xml:space="preserve">PASTRY SUPERVISOR </v>
      </c>
      <c r="AQ129" t="str">
        <f>"35-1012.00"</f>
        <v>35-1012.00</v>
      </c>
      <c r="AR129" t="str">
        <f>"First-Line Supervisors of Food Preparation and Serving Workers"</f>
        <v>First-Line Supervisors of Food Preparation and Serving Workers</v>
      </c>
      <c r="AS129" t="str">
        <f>"EXECUTIVE CHEF"</f>
        <v>EXECUTIVE CHEF</v>
      </c>
      <c r="AT129" t="s">
        <v>82</v>
      </c>
      <c r="AU129" t="str">
        <f>"2"</f>
        <v>2</v>
      </c>
      <c r="AV129" t="str">
        <f>"Subordinate"</f>
        <v>Subordinate</v>
      </c>
      <c r="AW129" t="s">
        <v>79</v>
      </c>
      <c r="AX129" t="str">
        <f>""</f>
        <v/>
      </c>
      <c r="AY129" t="s">
        <v>84</v>
      </c>
      <c r="BA129" t="s">
        <v>80</v>
      </c>
      <c r="BB129" t="s">
        <v>79</v>
      </c>
      <c r="BD129" t="s">
        <v>79</v>
      </c>
      <c r="BG129" t="s">
        <v>82</v>
      </c>
      <c r="BH129">
        <v>24</v>
      </c>
      <c r="BI129" t="s">
        <v>1376</v>
      </c>
      <c r="BJ129" s="2" t="s">
        <v>1050</v>
      </c>
      <c r="BK129" t="str">
        <f t="shared" si="85"/>
        <v xml:space="preserve">4940 AS GONNO RD. KOBLERVILLE </v>
      </c>
      <c r="BL129" t="str">
        <f t="shared" si="86"/>
        <v>P.O BOX 501160</v>
      </c>
      <c r="BM129" t="str">
        <f t="shared" si="87"/>
        <v xml:space="preserve">SAIPAN </v>
      </c>
      <c r="BO129" t="s">
        <v>83</v>
      </c>
      <c r="BP129" s="4" t="str">
        <f t="shared" si="72"/>
        <v>96950</v>
      </c>
      <c r="BQ129" t="s">
        <v>79</v>
      </c>
      <c r="BR129" t="str">
        <f>"35-1012.00"</f>
        <v>35-1012.00</v>
      </c>
      <c r="BS129" t="s">
        <v>694</v>
      </c>
      <c r="BT129" s="3">
        <v>9.75</v>
      </c>
      <c r="BU129" t="s">
        <v>80</v>
      </c>
      <c r="BV129" t="s">
        <v>90</v>
      </c>
      <c r="BW129" t="s">
        <v>92</v>
      </c>
      <c r="BZ129" s="1">
        <v>45107</v>
      </c>
    </row>
    <row r="130" spans="1:78" ht="15" customHeight="1" x14ac:dyDescent="0.25">
      <c r="A130" t="s">
        <v>1377</v>
      </c>
      <c r="B130" t="s">
        <v>94</v>
      </c>
      <c r="C130" s="1">
        <v>44865</v>
      </c>
      <c r="D130" s="1">
        <v>44907</v>
      </c>
      <c r="H130" t="s">
        <v>78</v>
      </c>
      <c r="I130" t="str">
        <f>"THOMPSON"</f>
        <v>THOMPSON</v>
      </c>
      <c r="J130" t="str">
        <f>"SCOT"</f>
        <v>SCOT</v>
      </c>
      <c r="K130" t="str">
        <f>"LEDREW"</f>
        <v>LEDREW</v>
      </c>
      <c r="L130" t="str">
        <f>"PRESIDENT"</f>
        <v>PRESIDENT</v>
      </c>
      <c r="M130" t="str">
        <f>"P.O. BOX 10001, PMB 807 "</f>
        <v xml:space="preserve">P.O. BOX 10001, PMB 807 </v>
      </c>
      <c r="N130" t="str">
        <f>"D'TORRES BLDG. MIDDLE ROAD, GARAPAN, SUITE 103"</f>
        <v>D'TORRES BLDG. MIDDLE ROAD, GARAPAN, SUITE 103</v>
      </c>
      <c r="O130" t="str">
        <f>"SAIPAN"</f>
        <v>SAIPAN</v>
      </c>
      <c r="P130" t="str">
        <f t="shared" si="69"/>
        <v>MP</v>
      </c>
      <c r="Q130" s="4" t="str">
        <f t="shared" si="70"/>
        <v>96950</v>
      </c>
      <c r="R130" t="str">
        <f t="shared" ref="R130:R193" si="90">"UNITED STATES OF AMERICA"</f>
        <v>UNITED STATES OF AMERICA</v>
      </c>
      <c r="S130" t="str">
        <f>"N/A"</f>
        <v>N/A</v>
      </c>
      <c r="T130" s="5" t="str">
        <f>"16702877268"</f>
        <v>16702877268</v>
      </c>
      <c r="U130" t="str">
        <f>""</f>
        <v/>
      </c>
      <c r="V130" s="5" t="str">
        <f>""</f>
        <v/>
      </c>
      <c r="W130" t="str">
        <f>"DENTALCARESAIPAN@GMAIL.COM"</f>
        <v>DENTALCARESAIPAN@GMAIL.COM</v>
      </c>
      <c r="X130" t="str">
        <f>"DENTAL CARE, INC."</f>
        <v>DENTAL CARE, INC.</v>
      </c>
      <c r="Y130" t="str">
        <f>"DENTAL CARE"</f>
        <v>DENTAL CARE</v>
      </c>
      <c r="Z130" t="str">
        <f>"P.O. BOX 10001, PMB 807"</f>
        <v>P.O. BOX 10001, PMB 807</v>
      </c>
      <c r="AA130" t="str">
        <f>"D'TORRES BLDG. MIDDLE ROAD, GARAPAN, SUITE 103"</f>
        <v>D'TORRES BLDG. MIDDLE ROAD, GARAPAN, SUITE 103</v>
      </c>
      <c r="AB130" t="str">
        <f>"SAIPAN"</f>
        <v>SAIPAN</v>
      </c>
      <c r="AC130" t="str">
        <f t="shared" ref="AC130:AC193" si="91">"MP"</f>
        <v>MP</v>
      </c>
      <c r="AD130" t="str">
        <f t="shared" si="71"/>
        <v>96950</v>
      </c>
      <c r="AE130" t="str">
        <f t="shared" ref="AE130:AE193" si="92">"UNITED STATES OF AMERICA"</f>
        <v>UNITED STATES OF AMERICA</v>
      </c>
      <c r="AF130" t="str">
        <f>"N/A"</f>
        <v>N/A</v>
      </c>
      <c r="AG130" s="4" t="str">
        <f>"16702877268"</f>
        <v>16702877268</v>
      </c>
      <c r="AH130" t="str">
        <f>""</f>
        <v/>
      </c>
      <c r="AI130" t="str">
        <f>"621210"</f>
        <v>621210</v>
      </c>
      <c r="AJ130" t="s">
        <v>79</v>
      </c>
      <c r="AK130" t="s">
        <v>79</v>
      </c>
      <c r="AL130" t="s">
        <v>80</v>
      </c>
      <c r="AM130" t="s">
        <v>79</v>
      </c>
      <c r="AP130" t="str">
        <f>"DENTAL THERAPIST"</f>
        <v>DENTAL THERAPIST</v>
      </c>
      <c r="AQ130" t="str">
        <f>"29-1129.00"</f>
        <v>29-1129.00</v>
      </c>
      <c r="AR130" t="str">
        <f>"Therapists, All Other"</f>
        <v>Therapists, All Other</v>
      </c>
      <c r="AS130" t="str">
        <f>"DENTIST"</f>
        <v>DENTIST</v>
      </c>
      <c r="AT130" t="s">
        <v>79</v>
      </c>
      <c r="AU130" t="str">
        <f>""</f>
        <v/>
      </c>
      <c r="AV130" t="str">
        <f>""</f>
        <v/>
      </c>
      <c r="AW130" t="s">
        <v>79</v>
      </c>
      <c r="AX130" t="str">
        <f>""</f>
        <v/>
      </c>
      <c r="AY130" t="s">
        <v>124</v>
      </c>
      <c r="BA130" t="s">
        <v>1378</v>
      </c>
      <c r="BB130" t="s">
        <v>79</v>
      </c>
      <c r="BD130" t="s">
        <v>79</v>
      </c>
      <c r="BG130" t="s">
        <v>82</v>
      </c>
      <c r="BH130">
        <v>12</v>
      </c>
      <c r="BI130" t="s">
        <v>1379</v>
      </c>
      <c r="BJ130" t="s">
        <v>1380</v>
      </c>
      <c r="BK130" t="str">
        <f>"D'TORRES BLDG. MIDDLE RD, SUITE 103 "</f>
        <v xml:space="preserve">D'TORRES BLDG. MIDDLE RD, SUITE 103 </v>
      </c>
      <c r="BL130" t="str">
        <f>"GARAPAN"</f>
        <v>GARAPAN</v>
      </c>
      <c r="BM130" t="str">
        <f>"SAIPAN"</f>
        <v>SAIPAN</v>
      </c>
      <c r="BO130" t="s">
        <v>83</v>
      </c>
      <c r="BP130" s="4" t="str">
        <f t="shared" si="72"/>
        <v>96950</v>
      </c>
      <c r="BQ130" t="s">
        <v>79</v>
      </c>
      <c r="BR130" t="str">
        <f>"31-9091.00"</f>
        <v>31-9091.00</v>
      </c>
      <c r="BS130" t="s">
        <v>1332</v>
      </c>
      <c r="BT130" s="3">
        <v>11.46</v>
      </c>
      <c r="BU130" t="s">
        <v>80</v>
      </c>
      <c r="BV130" t="s">
        <v>90</v>
      </c>
      <c r="BW130" t="s">
        <v>92</v>
      </c>
      <c r="BZ130" s="1">
        <v>45107</v>
      </c>
    </row>
    <row r="131" spans="1:78" ht="15" customHeight="1" x14ac:dyDescent="0.25">
      <c r="A131" t="s">
        <v>1381</v>
      </c>
      <c r="B131" t="s">
        <v>94</v>
      </c>
      <c r="C131" s="1">
        <v>44865</v>
      </c>
      <c r="D131" s="1">
        <v>44907</v>
      </c>
      <c r="H131" t="s">
        <v>78</v>
      </c>
      <c r="I131" t="str">
        <f>"PARK"</f>
        <v>PARK</v>
      </c>
      <c r="J131" t="str">
        <f t="shared" ref="J131:J136" si="93">"EUN PYUNG "</f>
        <v xml:space="preserve">EUN PYUNG </v>
      </c>
      <c r="K131" t="str">
        <f>""</f>
        <v/>
      </c>
      <c r="L131" t="str">
        <f t="shared" ref="L131:L138" si="94">"GENERAL MANAGER "</f>
        <v xml:space="preserve">GENERAL MANAGER </v>
      </c>
      <c r="M131" t="str">
        <f>"4940 AS GONNO RD. KOBLERVILLE "</f>
        <v xml:space="preserve">4940 AS GONNO RD. KOBLERVILLE </v>
      </c>
      <c r="N131" t="str">
        <f t="shared" ref="N131:N138" si="95">"P.O BOX 501160"</f>
        <v>P.O BOX 501160</v>
      </c>
      <c r="O131" t="str">
        <f t="shared" ref="O131:O138" si="96">"SAIPAN "</f>
        <v xml:space="preserve">SAIPAN </v>
      </c>
      <c r="P131" t="str">
        <f t="shared" si="69"/>
        <v>MP</v>
      </c>
      <c r="Q131" s="4" t="str">
        <f t="shared" si="70"/>
        <v>96950</v>
      </c>
      <c r="R131" t="str">
        <f t="shared" si="90"/>
        <v>UNITED STATES OF AMERICA</v>
      </c>
      <c r="S131" t="str">
        <f>""</f>
        <v/>
      </c>
      <c r="T131" s="5" t="str">
        <f t="shared" ref="T131:T138" si="97">"16702347000"</f>
        <v>16702347000</v>
      </c>
      <c r="U131" t="str">
        <f>""</f>
        <v/>
      </c>
      <c r="V131" s="5" t="str">
        <f>""</f>
        <v/>
      </c>
      <c r="W131" t="str">
        <f t="shared" ref="W131:W138" si="98">"hr@coraloceansaipan.com"</f>
        <v>hr@coraloceansaipan.com</v>
      </c>
      <c r="X131" t="str">
        <f t="shared" ref="X131:X136" si="99">"SUWASO CORPORATION "</f>
        <v xml:space="preserve">SUWASO CORPORATION </v>
      </c>
      <c r="Y131" t="str">
        <f t="shared" ref="Y131:Y137" si="100">"CORAL OCEAN RESORT "</f>
        <v xml:space="preserve">CORAL OCEAN RESORT </v>
      </c>
      <c r="Z131" t="str">
        <f>"4940 AS GONNO RD. KOBLERVILLE "</f>
        <v xml:space="preserve">4940 AS GONNO RD. KOBLERVILLE </v>
      </c>
      <c r="AA131" t="str">
        <f t="shared" ref="AA131:AA138" si="101">"P.O BOX 501160"</f>
        <v>P.O BOX 501160</v>
      </c>
      <c r="AB131" t="str">
        <f t="shared" ref="AB131:AB138" si="102">"SAIPAN "</f>
        <v xml:space="preserve">SAIPAN </v>
      </c>
      <c r="AC131" t="str">
        <f t="shared" si="91"/>
        <v>MP</v>
      </c>
      <c r="AD131" t="str">
        <f t="shared" si="71"/>
        <v>96950</v>
      </c>
      <c r="AE131" t="str">
        <f t="shared" si="92"/>
        <v>UNITED STATES OF AMERICA</v>
      </c>
      <c r="AF131" t="str">
        <f>""</f>
        <v/>
      </c>
      <c r="AG131" s="4" t="str">
        <f t="shared" ref="AG131:AG138" si="103">"16702347000"</f>
        <v>16702347000</v>
      </c>
      <c r="AH131" t="str">
        <f>""</f>
        <v/>
      </c>
      <c r="AI131" t="str">
        <f t="shared" ref="AI131:AI138" si="104">"721110"</f>
        <v>721110</v>
      </c>
      <c r="AJ131" t="s">
        <v>79</v>
      </c>
      <c r="AK131" t="s">
        <v>79</v>
      </c>
      <c r="AL131" t="s">
        <v>80</v>
      </c>
      <c r="AM131" t="s">
        <v>79</v>
      </c>
      <c r="AP131" t="str">
        <f>"INFORMATION TECHNOLOGY SPECIALIST "</f>
        <v xml:space="preserve">INFORMATION TECHNOLOGY SPECIALIST </v>
      </c>
      <c r="AQ131" t="str">
        <f>"15-1232.00"</f>
        <v>15-1232.00</v>
      </c>
      <c r="AR131" t="str">
        <f>"Computer User Support Specialists"</f>
        <v>Computer User Support Specialists</v>
      </c>
      <c r="AS131" t="str">
        <f>"IT MANAGER "</f>
        <v xml:space="preserve">IT MANAGER </v>
      </c>
      <c r="AT131" t="s">
        <v>79</v>
      </c>
      <c r="AU131" t="str">
        <f>""</f>
        <v/>
      </c>
      <c r="AV131" t="str">
        <f>""</f>
        <v/>
      </c>
      <c r="AW131" t="s">
        <v>79</v>
      </c>
      <c r="AX131" t="str">
        <f>""</f>
        <v/>
      </c>
      <c r="AY131" t="s">
        <v>95</v>
      </c>
      <c r="BA131" t="s">
        <v>1382</v>
      </c>
      <c r="BB131" t="s">
        <v>79</v>
      </c>
      <c r="BD131" t="s">
        <v>79</v>
      </c>
      <c r="BG131" t="s">
        <v>82</v>
      </c>
      <c r="BH131">
        <v>24</v>
      </c>
      <c r="BI131" t="s">
        <v>1383</v>
      </c>
      <c r="BJ131" s="2" t="s">
        <v>1033</v>
      </c>
      <c r="BK131" t="str">
        <f>"4940 AS GONNO RD. KOBLERVILLE "</f>
        <v xml:space="preserve">4940 AS GONNO RD. KOBLERVILLE </v>
      </c>
      <c r="BL131" t="str">
        <f>"P.O BOX 501160"</f>
        <v>P.O BOX 501160</v>
      </c>
      <c r="BM131" t="str">
        <f t="shared" ref="BM131:BM138" si="105">"SAIPAN "</f>
        <v xml:space="preserve">SAIPAN </v>
      </c>
      <c r="BO131" t="s">
        <v>83</v>
      </c>
      <c r="BP131" s="4" t="str">
        <f t="shared" si="72"/>
        <v>96950</v>
      </c>
      <c r="BQ131" t="s">
        <v>79</v>
      </c>
      <c r="BR131" t="str">
        <f>"15-1232.00"</f>
        <v>15-1232.00</v>
      </c>
      <c r="BS131" t="s">
        <v>678</v>
      </c>
      <c r="BT131" s="3">
        <v>12.78</v>
      </c>
      <c r="BU131" t="s">
        <v>80</v>
      </c>
      <c r="BV131" t="s">
        <v>90</v>
      </c>
      <c r="BW131" t="s">
        <v>92</v>
      </c>
      <c r="BZ131" s="1">
        <v>45107</v>
      </c>
    </row>
    <row r="132" spans="1:78" ht="15" customHeight="1" x14ac:dyDescent="0.25">
      <c r="A132" t="s">
        <v>1384</v>
      </c>
      <c r="B132" t="s">
        <v>94</v>
      </c>
      <c r="C132" s="1">
        <v>44865</v>
      </c>
      <c r="D132" s="1">
        <v>44907</v>
      </c>
      <c r="H132" t="s">
        <v>78</v>
      </c>
      <c r="I132" t="str">
        <f>"PARK "</f>
        <v xml:space="preserve">PARK </v>
      </c>
      <c r="J132" t="str">
        <f t="shared" si="93"/>
        <v xml:space="preserve">EUN PYUNG </v>
      </c>
      <c r="K132" t="str">
        <f>""</f>
        <v/>
      </c>
      <c r="L132" t="str">
        <f t="shared" si="94"/>
        <v xml:space="preserve">GENERAL MANAGER </v>
      </c>
      <c r="M132" t="str">
        <f>"4940 AS GONNO RD. KOBLERVILLE"</f>
        <v>4940 AS GONNO RD. KOBLERVILLE</v>
      </c>
      <c r="N132" t="str">
        <f t="shared" si="95"/>
        <v>P.O BOX 501160</v>
      </c>
      <c r="O132" t="str">
        <f t="shared" si="96"/>
        <v xml:space="preserve">SAIPAN </v>
      </c>
      <c r="P132" t="str">
        <f t="shared" si="69"/>
        <v>MP</v>
      </c>
      <c r="Q132" s="4" t="str">
        <f t="shared" si="70"/>
        <v>96950</v>
      </c>
      <c r="R132" t="str">
        <f t="shared" si="90"/>
        <v>UNITED STATES OF AMERICA</v>
      </c>
      <c r="S132" t="str">
        <f>""</f>
        <v/>
      </c>
      <c r="T132" s="5" t="str">
        <f t="shared" si="97"/>
        <v>16702347000</v>
      </c>
      <c r="U132" t="str">
        <f>""</f>
        <v/>
      </c>
      <c r="V132" s="5" t="str">
        <f>""</f>
        <v/>
      </c>
      <c r="W132" t="str">
        <f t="shared" si="98"/>
        <v>hr@coraloceansaipan.com</v>
      </c>
      <c r="X132" t="str">
        <f t="shared" si="99"/>
        <v xml:space="preserve">SUWASO CORPORATION </v>
      </c>
      <c r="Y132" t="str">
        <f t="shared" si="100"/>
        <v xml:space="preserve">CORAL OCEAN RESORT </v>
      </c>
      <c r="Z132" t="str">
        <f>"4940 AS GONNO RD. KOBLERVILLE"</f>
        <v>4940 AS GONNO RD. KOBLERVILLE</v>
      </c>
      <c r="AA132" t="str">
        <f t="shared" si="101"/>
        <v>P.O BOX 501160</v>
      </c>
      <c r="AB132" t="str">
        <f t="shared" si="102"/>
        <v xml:space="preserve">SAIPAN </v>
      </c>
      <c r="AC132" t="str">
        <f t="shared" si="91"/>
        <v>MP</v>
      </c>
      <c r="AD132" t="str">
        <f t="shared" si="71"/>
        <v>96950</v>
      </c>
      <c r="AE132" t="str">
        <f t="shared" si="92"/>
        <v>UNITED STATES OF AMERICA</v>
      </c>
      <c r="AF132" t="str">
        <f>""</f>
        <v/>
      </c>
      <c r="AG132" s="4" t="str">
        <f t="shared" si="103"/>
        <v>16702347000</v>
      </c>
      <c r="AH132" t="str">
        <f>""</f>
        <v/>
      </c>
      <c r="AI132" t="str">
        <f t="shared" si="104"/>
        <v>721110</v>
      </c>
      <c r="AJ132" t="s">
        <v>79</v>
      </c>
      <c r="AK132" t="s">
        <v>79</v>
      </c>
      <c r="AL132" t="s">
        <v>80</v>
      </c>
      <c r="AM132" t="s">
        <v>79</v>
      </c>
      <c r="AP132" t="str">
        <f>"CONCIERGE"</f>
        <v>CONCIERGE</v>
      </c>
      <c r="AQ132" t="str">
        <f>"39-6012.00"</f>
        <v>39-6012.00</v>
      </c>
      <c r="AR132" t="str">
        <f>"Concierges"</f>
        <v>Concierges</v>
      </c>
      <c r="AS132" t="str">
        <f>"FRONT OFFICE MANAGER "</f>
        <v xml:space="preserve">FRONT OFFICE MANAGER </v>
      </c>
      <c r="AT132" t="s">
        <v>79</v>
      </c>
      <c r="AU132" t="str">
        <f>""</f>
        <v/>
      </c>
      <c r="AV132" t="str">
        <f>""</f>
        <v/>
      </c>
      <c r="AW132" t="s">
        <v>79</v>
      </c>
      <c r="AX132" t="str">
        <f>""</f>
        <v/>
      </c>
      <c r="AY132" t="s">
        <v>84</v>
      </c>
      <c r="BA132" t="s">
        <v>80</v>
      </c>
      <c r="BB132" t="s">
        <v>79</v>
      </c>
      <c r="BD132" t="s">
        <v>79</v>
      </c>
      <c r="BG132" t="s">
        <v>82</v>
      </c>
      <c r="BH132">
        <v>12</v>
      </c>
      <c r="BI132" t="s">
        <v>1385</v>
      </c>
      <c r="BJ132" s="2" t="s">
        <v>1386</v>
      </c>
      <c r="BK132" t="str">
        <f>"4940 AS GONNO RD. KOBLERVILLE "</f>
        <v xml:space="preserve">4940 AS GONNO RD. KOBLERVILLE </v>
      </c>
      <c r="BL132" t="str">
        <f>"P.O BOX 501160"</f>
        <v>P.O BOX 501160</v>
      </c>
      <c r="BM132" t="str">
        <f t="shared" si="105"/>
        <v xml:space="preserve">SAIPAN </v>
      </c>
      <c r="BO132" t="s">
        <v>83</v>
      </c>
      <c r="BP132" s="4" t="str">
        <f t="shared" si="72"/>
        <v>96950</v>
      </c>
      <c r="BQ132" t="s">
        <v>79</v>
      </c>
      <c r="BR132" t="str">
        <f>"39-6012.00"</f>
        <v>39-6012.00</v>
      </c>
      <c r="BS132" t="s">
        <v>1387</v>
      </c>
      <c r="BT132" s="3">
        <v>10.98</v>
      </c>
      <c r="BU132" t="s">
        <v>80</v>
      </c>
      <c r="BV132" t="s">
        <v>90</v>
      </c>
      <c r="BW132" t="s">
        <v>464</v>
      </c>
      <c r="BZ132" s="1">
        <v>45107</v>
      </c>
    </row>
    <row r="133" spans="1:78" ht="15" customHeight="1" x14ac:dyDescent="0.25">
      <c r="A133" t="s">
        <v>1388</v>
      </c>
      <c r="B133" t="s">
        <v>94</v>
      </c>
      <c r="C133" s="1">
        <v>44865</v>
      </c>
      <c r="D133" s="1">
        <v>44907</v>
      </c>
      <c r="H133" t="s">
        <v>78</v>
      </c>
      <c r="I133" t="str">
        <f t="shared" ref="I133:I138" si="106">"PARK"</f>
        <v>PARK</v>
      </c>
      <c r="J133" t="str">
        <f t="shared" si="93"/>
        <v xml:space="preserve">EUN PYUNG </v>
      </c>
      <c r="K133" t="str">
        <f>""</f>
        <v/>
      </c>
      <c r="L133" t="str">
        <f t="shared" si="94"/>
        <v xml:space="preserve">GENERAL MANAGER </v>
      </c>
      <c r="M133" t="str">
        <f t="shared" ref="M133:M138" si="107">"4940 AS GONNO RD. KOBLERVILLE "</f>
        <v xml:space="preserve">4940 AS GONNO RD. KOBLERVILLE </v>
      </c>
      <c r="N133" t="str">
        <f t="shared" si="95"/>
        <v>P.O BOX 501160</v>
      </c>
      <c r="O133" t="str">
        <f t="shared" si="96"/>
        <v xml:space="preserve">SAIPAN </v>
      </c>
      <c r="P133" t="str">
        <f t="shared" si="69"/>
        <v>MP</v>
      </c>
      <c r="Q133" s="4" t="str">
        <f t="shared" si="70"/>
        <v>96950</v>
      </c>
      <c r="R133" t="str">
        <f t="shared" si="90"/>
        <v>UNITED STATES OF AMERICA</v>
      </c>
      <c r="S133" t="str">
        <f>""</f>
        <v/>
      </c>
      <c r="T133" s="5" t="str">
        <f t="shared" si="97"/>
        <v>16702347000</v>
      </c>
      <c r="U133" t="str">
        <f>""</f>
        <v/>
      </c>
      <c r="V133" s="5" t="str">
        <f>""</f>
        <v/>
      </c>
      <c r="W133" t="str">
        <f t="shared" si="98"/>
        <v>hr@coraloceansaipan.com</v>
      </c>
      <c r="X133" t="str">
        <f t="shared" si="99"/>
        <v xml:space="preserve">SUWASO CORPORATION </v>
      </c>
      <c r="Y133" t="str">
        <f t="shared" si="100"/>
        <v xml:space="preserve">CORAL OCEAN RESORT </v>
      </c>
      <c r="Z133" t="str">
        <f>"4940 AS GONNO RD. KOBLERVILLE "</f>
        <v xml:space="preserve">4940 AS GONNO RD. KOBLERVILLE </v>
      </c>
      <c r="AA133" t="str">
        <f t="shared" si="101"/>
        <v>P.O BOX 501160</v>
      </c>
      <c r="AB133" t="str">
        <f t="shared" si="102"/>
        <v xml:space="preserve">SAIPAN </v>
      </c>
      <c r="AC133" t="str">
        <f t="shared" si="91"/>
        <v>MP</v>
      </c>
      <c r="AD133" t="str">
        <f t="shared" si="71"/>
        <v>96950</v>
      </c>
      <c r="AE133" t="str">
        <f t="shared" si="92"/>
        <v>UNITED STATES OF AMERICA</v>
      </c>
      <c r="AF133" t="str">
        <f>""</f>
        <v/>
      </c>
      <c r="AG133" s="4" t="str">
        <f t="shared" si="103"/>
        <v>16702347000</v>
      </c>
      <c r="AH133" t="str">
        <f>""</f>
        <v/>
      </c>
      <c r="AI133" t="str">
        <f t="shared" si="104"/>
        <v>721110</v>
      </c>
      <c r="AJ133" t="s">
        <v>79</v>
      </c>
      <c r="AK133" t="s">
        <v>79</v>
      </c>
      <c r="AL133" t="s">
        <v>80</v>
      </c>
      <c r="AM133" t="s">
        <v>79</v>
      </c>
      <c r="AP133" t="str">
        <f>"HEAD CHEF"</f>
        <v>HEAD CHEF</v>
      </c>
      <c r="AQ133" t="str">
        <f>"35-1011.00"</f>
        <v>35-1011.00</v>
      </c>
      <c r="AR133" t="str">
        <f>"Chefs and Head Cooks"</f>
        <v>Chefs and Head Cooks</v>
      </c>
      <c r="AS133" t="str">
        <f>"EXECUTIVE CHEF "</f>
        <v xml:space="preserve">EXECUTIVE CHEF </v>
      </c>
      <c r="AT133" t="s">
        <v>82</v>
      </c>
      <c r="AU133" t="str">
        <f>"15"</f>
        <v>15</v>
      </c>
      <c r="AV133" t="str">
        <f>"Subordinate"</f>
        <v>Subordinate</v>
      </c>
      <c r="AW133" t="s">
        <v>79</v>
      </c>
      <c r="AX133" t="str">
        <f>""</f>
        <v/>
      </c>
      <c r="AY133" t="s">
        <v>124</v>
      </c>
      <c r="BA133" t="s">
        <v>1389</v>
      </c>
      <c r="BB133" t="s">
        <v>79</v>
      </c>
      <c r="BD133" t="s">
        <v>79</v>
      </c>
      <c r="BG133" t="s">
        <v>82</v>
      </c>
      <c r="BH133">
        <v>24</v>
      </c>
      <c r="BI133" t="s">
        <v>1390</v>
      </c>
      <c r="BJ133" s="2" t="s">
        <v>1391</v>
      </c>
      <c r="BK133" t="str">
        <f>"4940 AS GONNO RD. KOBLERVILLE"</f>
        <v>4940 AS GONNO RD. KOBLERVILLE</v>
      </c>
      <c r="BL133" t="str">
        <f>"P.O BOX 501160 "</f>
        <v xml:space="preserve">P.O BOX 501160 </v>
      </c>
      <c r="BM133" t="str">
        <f t="shared" si="105"/>
        <v xml:space="preserve">SAIPAN </v>
      </c>
      <c r="BO133" t="s">
        <v>83</v>
      </c>
      <c r="BP133" s="4" t="str">
        <f t="shared" si="72"/>
        <v>96950</v>
      </c>
      <c r="BQ133" t="s">
        <v>79</v>
      </c>
      <c r="BR133" t="str">
        <f>"35-1011.00"</f>
        <v>35-1011.00</v>
      </c>
      <c r="BS133" t="s">
        <v>740</v>
      </c>
      <c r="BT133" s="3">
        <v>13.71</v>
      </c>
      <c r="BU133" t="s">
        <v>80</v>
      </c>
      <c r="BV133" t="s">
        <v>90</v>
      </c>
      <c r="BW133" t="s">
        <v>92</v>
      </c>
      <c r="BZ133" s="1">
        <v>45107</v>
      </c>
    </row>
    <row r="134" spans="1:78" ht="15" customHeight="1" x14ac:dyDescent="0.25">
      <c r="A134" t="s">
        <v>1392</v>
      </c>
      <c r="B134" t="s">
        <v>94</v>
      </c>
      <c r="C134" s="1">
        <v>44865</v>
      </c>
      <c r="D134" s="1">
        <v>44907</v>
      </c>
      <c r="H134" t="s">
        <v>78</v>
      </c>
      <c r="I134" t="str">
        <f t="shared" si="106"/>
        <v>PARK</v>
      </c>
      <c r="J134" t="str">
        <f t="shared" si="93"/>
        <v xml:space="preserve">EUN PYUNG </v>
      </c>
      <c r="K134" t="str">
        <f>""</f>
        <v/>
      </c>
      <c r="L134" t="str">
        <f t="shared" si="94"/>
        <v xml:space="preserve">GENERAL MANAGER </v>
      </c>
      <c r="M134" t="str">
        <f t="shared" si="107"/>
        <v xml:space="preserve">4940 AS GONNO RD. KOBLERVILLE </v>
      </c>
      <c r="N134" t="str">
        <f t="shared" si="95"/>
        <v>P.O BOX 501160</v>
      </c>
      <c r="O134" t="str">
        <f t="shared" si="96"/>
        <v xml:space="preserve">SAIPAN </v>
      </c>
      <c r="P134" t="str">
        <f t="shared" si="69"/>
        <v>MP</v>
      </c>
      <c r="Q134" s="4" t="str">
        <f t="shared" si="70"/>
        <v>96950</v>
      </c>
      <c r="R134" t="str">
        <f t="shared" si="90"/>
        <v>UNITED STATES OF AMERICA</v>
      </c>
      <c r="S134" t="str">
        <f>""</f>
        <v/>
      </c>
      <c r="T134" s="5" t="str">
        <f t="shared" si="97"/>
        <v>16702347000</v>
      </c>
      <c r="U134" t="str">
        <f>""</f>
        <v/>
      </c>
      <c r="V134" s="5" t="str">
        <f>""</f>
        <v/>
      </c>
      <c r="W134" t="str">
        <f t="shared" si="98"/>
        <v>hr@coraloceansaipan.com</v>
      </c>
      <c r="X134" t="str">
        <f t="shared" si="99"/>
        <v xml:space="preserve">SUWASO CORPORATION </v>
      </c>
      <c r="Y134" t="str">
        <f t="shared" si="100"/>
        <v xml:space="preserve">CORAL OCEAN RESORT </v>
      </c>
      <c r="Z134" t="str">
        <f>"4940 AS GONNO RD. KOBLERVILLE "</f>
        <v xml:space="preserve">4940 AS GONNO RD. KOBLERVILLE </v>
      </c>
      <c r="AA134" t="str">
        <f t="shared" si="101"/>
        <v>P.O BOX 501160</v>
      </c>
      <c r="AB134" t="str">
        <f t="shared" si="102"/>
        <v xml:space="preserve">SAIPAN </v>
      </c>
      <c r="AC134" t="str">
        <f t="shared" si="91"/>
        <v>MP</v>
      </c>
      <c r="AD134" t="str">
        <f t="shared" si="71"/>
        <v>96950</v>
      </c>
      <c r="AE134" t="str">
        <f t="shared" si="92"/>
        <v>UNITED STATES OF AMERICA</v>
      </c>
      <c r="AF134" t="str">
        <f>""</f>
        <v/>
      </c>
      <c r="AG134" s="4" t="str">
        <f t="shared" si="103"/>
        <v>16702347000</v>
      </c>
      <c r="AH134" t="str">
        <f>""</f>
        <v/>
      </c>
      <c r="AI134" t="str">
        <f t="shared" si="104"/>
        <v>721110</v>
      </c>
      <c r="AJ134" t="s">
        <v>79</v>
      </c>
      <c r="AK134" t="s">
        <v>79</v>
      </c>
      <c r="AL134" t="s">
        <v>80</v>
      </c>
      <c r="AM134" t="s">
        <v>79</v>
      </c>
      <c r="AP134" t="str">
        <f>"STEWARD"</f>
        <v>STEWARD</v>
      </c>
      <c r="AQ134" t="str">
        <f>"35-9021.00"</f>
        <v>35-9021.00</v>
      </c>
      <c r="AR134" t="str">
        <f>"Dishwashers"</f>
        <v>Dishwashers</v>
      </c>
      <c r="AS134" t="str">
        <f>"EXECUTIVE CHEF"</f>
        <v>EXECUTIVE CHEF</v>
      </c>
      <c r="AT134" t="s">
        <v>79</v>
      </c>
      <c r="AU134" t="str">
        <f>""</f>
        <v/>
      </c>
      <c r="AV134" t="str">
        <f>""</f>
        <v/>
      </c>
      <c r="AW134" t="s">
        <v>79</v>
      </c>
      <c r="AX134" t="str">
        <f>""</f>
        <v/>
      </c>
      <c r="AY134" t="s">
        <v>84</v>
      </c>
      <c r="BA134" t="s">
        <v>80</v>
      </c>
      <c r="BB134" t="s">
        <v>79</v>
      </c>
      <c r="BD134" t="s">
        <v>79</v>
      </c>
      <c r="BG134" t="s">
        <v>82</v>
      </c>
      <c r="BH134">
        <v>3</v>
      </c>
      <c r="BI134" t="s">
        <v>1393</v>
      </c>
      <c r="BJ134" s="2" t="s">
        <v>1025</v>
      </c>
      <c r="BK134" t="str">
        <f>"4940 AS GONNO RD. KOBLERVILLE "</f>
        <v xml:space="preserve">4940 AS GONNO RD. KOBLERVILLE </v>
      </c>
      <c r="BL134" t="str">
        <f>"P.O BOX 501160"</f>
        <v>P.O BOX 501160</v>
      </c>
      <c r="BM134" t="str">
        <f t="shared" si="105"/>
        <v xml:space="preserve">SAIPAN </v>
      </c>
      <c r="BO134" t="s">
        <v>83</v>
      </c>
      <c r="BP134" s="4" t="str">
        <f t="shared" si="72"/>
        <v>96950</v>
      </c>
      <c r="BQ134" t="s">
        <v>79</v>
      </c>
      <c r="BR134" t="str">
        <f>"35-9021.00"</f>
        <v>35-9021.00</v>
      </c>
      <c r="BS134" t="s">
        <v>317</v>
      </c>
      <c r="BT134" s="3">
        <v>8.0299999999999994</v>
      </c>
      <c r="BU134" t="s">
        <v>80</v>
      </c>
      <c r="BV134" t="s">
        <v>90</v>
      </c>
      <c r="BW134" t="s">
        <v>92</v>
      </c>
      <c r="BZ134" s="1">
        <v>45107</v>
      </c>
    </row>
    <row r="135" spans="1:78" ht="15" customHeight="1" x14ac:dyDescent="0.25">
      <c r="A135" t="s">
        <v>1394</v>
      </c>
      <c r="B135" t="s">
        <v>94</v>
      </c>
      <c r="C135" s="1">
        <v>44865</v>
      </c>
      <c r="D135" s="1">
        <v>44907</v>
      </c>
      <c r="H135" t="s">
        <v>78</v>
      </c>
      <c r="I135" t="str">
        <f t="shared" si="106"/>
        <v>PARK</v>
      </c>
      <c r="J135" t="str">
        <f t="shared" si="93"/>
        <v xml:space="preserve">EUN PYUNG </v>
      </c>
      <c r="K135" t="str">
        <f>""</f>
        <v/>
      </c>
      <c r="L135" t="str">
        <f t="shared" si="94"/>
        <v xml:space="preserve">GENERAL MANAGER </v>
      </c>
      <c r="M135" t="str">
        <f t="shared" si="107"/>
        <v xml:space="preserve">4940 AS GONNO RD. KOBLERVILLE </v>
      </c>
      <c r="N135" t="str">
        <f t="shared" si="95"/>
        <v>P.O BOX 501160</v>
      </c>
      <c r="O135" t="str">
        <f t="shared" si="96"/>
        <v xml:space="preserve">SAIPAN </v>
      </c>
      <c r="P135" t="str">
        <f t="shared" si="69"/>
        <v>MP</v>
      </c>
      <c r="Q135" s="4" t="str">
        <f t="shared" si="70"/>
        <v>96950</v>
      </c>
      <c r="R135" t="str">
        <f t="shared" si="90"/>
        <v>UNITED STATES OF AMERICA</v>
      </c>
      <c r="S135" t="str">
        <f>""</f>
        <v/>
      </c>
      <c r="T135" s="5" t="str">
        <f t="shared" si="97"/>
        <v>16702347000</v>
      </c>
      <c r="U135" t="str">
        <f>""</f>
        <v/>
      </c>
      <c r="V135" s="5" t="str">
        <f>""</f>
        <v/>
      </c>
      <c r="W135" t="str">
        <f t="shared" si="98"/>
        <v>hr@coraloceansaipan.com</v>
      </c>
      <c r="X135" t="str">
        <f t="shared" si="99"/>
        <v xml:space="preserve">SUWASO CORPORATION </v>
      </c>
      <c r="Y135" t="str">
        <f t="shared" si="100"/>
        <v xml:space="preserve">CORAL OCEAN RESORT </v>
      </c>
      <c r="Z135" t="str">
        <f>"4940 AS GONNO RD. KOBLERVILLE"</f>
        <v>4940 AS GONNO RD. KOBLERVILLE</v>
      </c>
      <c r="AA135" t="str">
        <f t="shared" si="101"/>
        <v>P.O BOX 501160</v>
      </c>
      <c r="AB135" t="str">
        <f t="shared" si="102"/>
        <v xml:space="preserve">SAIPAN </v>
      </c>
      <c r="AC135" t="str">
        <f t="shared" si="91"/>
        <v>MP</v>
      </c>
      <c r="AD135" t="str">
        <f t="shared" si="71"/>
        <v>96950</v>
      </c>
      <c r="AE135" t="str">
        <f t="shared" si="92"/>
        <v>UNITED STATES OF AMERICA</v>
      </c>
      <c r="AF135" t="str">
        <f>""</f>
        <v/>
      </c>
      <c r="AG135" s="4" t="str">
        <f t="shared" si="103"/>
        <v>16702347000</v>
      </c>
      <c r="AH135" t="str">
        <f>""</f>
        <v/>
      </c>
      <c r="AI135" t="str">
        <f t="shared" si="104"/>
        <v>721110</v>
      </c>
      <c r="AJ135" t="s">
        <v>79</v>
      </c>
      <c r="AK135" t="s">
        <v>79</v>
      </c>
      <c r="AL135" t="s">
        <v>80</v>
      </c>
      <c r="AM135" t="s">
        <v>79</v>
      </c>
      <c r="AP135" t="str">
        <f>"LANDSCAPER"</f>
        <v>LANDSCAPER</v>
      </c>
      <c r="AQ135" t="str">
        <f>"37-3011.00"</f>
        <v>37-3011.00</v>
      </c>
      <c r="AR135" t="str">
        <f>"Landscaping and Groundskeeping Workers"</f>
        <v>Landscaping and Groundskeeping Workers</v>
      </c>
      <c r="AS135" t="str">
        <f>"GROUNDSKEEPEING SUPERVISOR "</f>
        <v xml:space="preserve">GROUNDSKEEPEING SUPERVISOR </v>
      </c>
      <c r="AT135" t="s">
        <v>79</v>
      </c>
      <c r="AU135" t="str">
        <f>""</f>
        <v/>
      </c>
      <c r="AV135" t="str">
        <f>""</f>
        <v/>
      </c>
      <c r="AW135" t="s">
        <v>79</v>
      </c>
      <c r="AX135" t="str">
        <f>""</f>
        <v/>
      </c>
      <c r="AY135" t="s">
        <v>84</v>
      </c>
      <c r="BA135" t="s">
        <v>80</v>
      </c>
      <c r="BB135" t="s">
        <v>79</v>
      </c>
      <c r="BD135" t="s">
        <v>79</v>
      </c>
      <c r="BG135" t="s">
        <v>82</v>
      </c>
      <c r="BH135">
        <v>12</v>
      </c>
      <c r="BI135" t="s">
        <v>1395</v>
      </c>
      <c r="BJ135" s="2" t="s">
        <v>1044</v>
      </c>
      <c r="BK135" t="str">
        <f>"4940 AS GONNO RD. KOBLERVILLE "</f>
        <v xml:space="preserve">4940 AS GONNO RD. KOBLERVILLE </v>
      </c>
      <c r="BL135" t="str">
        <f>"P.O BOX 501160"</f>
        <v>P.O BOX 501160</v>
      </c>
      <c r="BM135" t="str">
        <f t="shared" si="105"/>
        <v xml:space="preserve">SAIPAN </v>
      </c>
      <c r="BO135" t="s">
        <v>83</v>
      </c>
      <c r="BP135" s="4" t="str">
        <f t="shared" si="72"/>
        <v>96950</v>
      </c>
      <c r="BQ135" t="s">
        <v>79</v>
      </c>
      <c r="BR135" t="str">
        <f>"37-3011.00"</f>
        <v>37-3011.00</v>
      </c>
      <c r="BS135" t="s">
        <v>122</v>
      </c>
      <c r="BT135" s="3">
        <v>8.1300000000000008</v>
      </c>
      <c r="BU135" t="s">
        <v>80</v>
      </c>
      <c r="BV135" t="s">
        <v>90</v>
      </c>
      <c r="BW135" t="s">
        <v>92</v>
      </c>
      <c r="BZ135" s="1">
        <v>45107</v>
      </c>
    </row>
    <row r="136" spans="1:78" ht="15" customHeight="1" x14ac:dyDescent="0.25">
      <c r="A136" t="s">
        <v>1396</v>
      </c>
      <c r="B136" t="s">
        <v>94</v>
      </c>
      <c r="C136" s="1">
        <v>44865</v>
      </c>
      <c r="D136" s="1">
        <v>44907</v>
      </c>
      <c r="H136" t="s">
        <v>78</v>
      </c>
      <c r="I136" t="str">
        <f t="shared" si="106"/>
        <v>PARK</v>
      </c>
      <c r="J136" t="str">
        <f t="shared" si="93"/>
        <v xml:space="preserve">EUN PYUNG </v>
      </c>
      <c r="K136" t="str">
        <f>""</f>
        <v/>
      </c>
      <c r="L136" t="str">
        <f t="shared" si="94"/>
        <v xml:space="preserve">GENERAL MANAGER </v>
      </c>
      <c r="M136" t="str">
        <f t="shared" si="107"/>
        <v xml:space="preserve">4940 AS GONNO RD. KOBLERVILLE </v>
      </c>
      <c r="N136" t="str">
        <f t="shared" si="95"/>
        <v>P.O BOX 501160</v>
      </c>
      <c r="O136" t="str">
        <f t="shared" si="96"/>
        <v xml:space="preserve">SAIPAN </v>
      </c>
      <c r="P136" t="str">
        <f t="shared" si="69"/>
        <v>MP</v>
      </c>
      <c r="Q136" s="4" t="str">
        <f t="shared" si="70"/>
        <v>96950</v>
      </c>
      <c r="R136" t="str">
        <f t="shared" si="90"/>
        <v>UNITED STATES OF AMERICA</v>
      </c>
      <c r="S136" t="str">
        <f>""</f>
        <v/>
      </c>
      <c r="T136" s="5" t="str">
        <f t="shared" si="97"/>
        <v>16702347000</v>
      </c>
      <c r="U136" t="str">
        <f>""</f>
        <v/>
      </c>
      <c r="V136" s="5" t="str">
        <f>""</f>
        <v/>
      </c>
      <c r="W136" t="str">
        <f t="shared" si="98"/>
        <v>hr@coraloceansaipan.com</v>
      </c>
      <c r="X136" t="str">
        <f t="shared" si="99"/>
        <v xml:space="preserve">SUWASO CORPORATION </v>
      </c>
      <c r="Y136" t="str">
        <f t="shared" si="100"/>
        <v xml:space="preserve">CORAL OCEAN RESORT </v>
      </c>
      <c r="Z136" t="str">
        <f>"4940 AS GONNO RD. KOBLERVILLE "</f>
        <v xml:space="preserve">4940 AS GONNO RD. KOBLERVILLE </v>
      </c>
      <c r="AA136" t="str">
        <f t="shared" si="101"/>
        <v>P.O BOX 501160</v>
      </c>
      <c r="AB136" t="str">
        <f t="shared" si="102"/>
        <v xml:space="preserve">SAIPAN </v>
      </c>
      <c r="AC136" t="str">
        <f t="shared" si="91"/>
        <v>MP</v>
      </c>
      <c r="AD136" t="str">
        <f t="shared" si="71"/>
        <v>96950</v>
      </c>
      <c r="AE136" t="str">
        <f t="shared" si="92"/>
        <v>UNITED STATES OF AMERICA</v>
      </c>
      <c r="AF136" t="str">
        <f>""</f>
        <v/>
      </c>
      <c r="AG136" s="4" t="str">
        <f t="shared" si="103"/>
        <v>16702347000</v>
      </c>
      <c r="AH136" t="str">
        <f>""</f>
        <v/>
      </c>
      <c r="AI136" t="str">
        <f t="shared" si="104"/>
        <v>721110</v>
      </c>
      <c r="AJ136" t="s">
        <v>79</v>
      </c>
      <c r="AK136" t="s">
        <v>79</v>
      </c>
      <c r="AL136" t="s">
        <v>80</v>
      </c>
      <c r="AM136" t="s">
        <v>79</v>
      </c>
      <c r="AP136" t="str">
        <f>"LIFEGUARD"</f>
        <v>LIFEGUARD</v>
      </c>
      <c r="AQ136" t="str">
        <f>"33-9092.00"</f>
        <v>33-9092.00</v>
      </c>
      <c r="AR136" t="str">
        <f>"Lifeguards, Ski Patrol, and Other Recreational Protective Service Workers"</f>
        <v>Lifeguards, Ski Patrol, and Other Recreational Protective Service Workers</v>
      </c>
      <c r="AS136" t="str">
        <f>"ENTERTAINMENT MANAGER "</f>
        <v xml:space="preserve">ENTERTAINMENT MANAGER </v>
      </c>
      <c r="AT136" t="s">
        <v>79</v>
      </c>
      <c r="AU136" t="str">
        <f>""</f>
        <v/>
      </c>
      <c r="AV136" t="str">
        <f>""</f>
        <v/>
      </c>
      <c r="AW136" t="s">
        <v>79</v>
      </c>
      <c r="AX136" t="str">
        <f>""</f>
        <v/>
      </c>
      <c r="AY136" t="s">
        <v>84</v>
      </c>
      <c r="BA136" t="s">
        <v>80</v>
      </c>
      <c r="BB136" t="s">
        <v>79</v>
      </c>
      <c r="BD136" t="s">
        <v>79</v>
      </c>
      <c r="BG136" t="s">
        <v>82</v>
      </c>
      <c r="BH136">
        <v>12</v>
      </c>
      <c r="BI136" t="s">
        <v>1397</v>
      </c>
      <c r="BJ136" s="2" t="s">
        <v>1398</v>
      </c>
      <c r="BK136" t="str">
        <f>"4940 AS GONNO RD. KOBLERVILLE "</f>
        <v xml:space="preserve">4940 AS GONNO RD. KOBLERVILLE </v>
      </c>
      <c r="BL136" t="str">
        <f>"P.O BOX 501160 "</f>
        <v xml:space="preserve">P.O BOX 501160 </v>
      </c>
      <c r="BM136" t="str">
        <f t="shared" si="105"/>
        <v xml:space="preserve">SAIPAN </v>
      </c>
      <c r="BO136" t="s">
        <v>83</v>
      </c>
      <c r="BP136" s="4" t="str">
        <f t="shared" si="72"/>
        <v>96950</v>
      </c>
      <c r="BQ136" t="s">
        <v>79</v>
      </c>
      <c r="BR136" t="str">
        <f>"33-9092.00"</f>
        <v>33-9092.00</v>
      </c>
      <c r="BS136" t="s">
        <v>914</v>
      </c>
      <c r="BT136" s="3">
        <v>8.91</v>
      </c>
      <c r="BU136" t="s">
        <v>80</v>
      </c>
      <c r="BV136" t="s">
        <v>90</v>
      </c>
      <c r="BW136" t="s">
        <v>92</v>
      </c>
      <c r="BZ136" s="1">
        <v>45107</v>
      </c>
    </row>
    <row r="137" spans="1:78" ht="15" customHeight="1" x14ac:dyDescent="0.25">
      <c r="A137" t="s">
        <v>1399</v>
      </c>
      <c r="B137" t="s">
        <v>94</v>
      </c>
      <c r="C137" s="1">
        <v>44865</v>
      </c>
      <c r="D137" s="1">
        <v>44907</v>
      </c>
      <c r="H137" t="s">
        <v>78</v>
      </c>
      <c r="I137" t="str">
        <f t="shared" si="106"/>
        <v>PARK</v>
      </c>
      <c r="J137" t="str">
        <f>"EUN PYUNG"</f>
        <v>EUN PYUNG</v>
      </c>
      <c r="K137" t="str">
        <f>""</f>
        <v/>
      </c>
      <c r="L137" t="str">
        <f t="shared" si="94"/>
        <v xml:space="preserve">GENERAL MANAGER </v>
      </c>
      <c r="M137" t="str">
        <f t="shared" si="107"/>
        <v xml:space="preserve">4940 AS GONNO RD. KOBLERVILLE </v>
      </c>
      <c r="N137" t="str">
        <f t="shared" si="95"/>
        <v>P.O BOX 501160</v>
      </c>
      <c r="O137" t="str">
        <f t="shared" si="96"/>
        <v xml:space="preserve">SAIPAN </v>
      </c>
      <c r="P137" t="str">
        <f t="shared" si="69"/>
        <v>MP</v>
      </c>
      <c r="Q137" s="4" t="str">
        <f t="shared" si="70"/>
        <v>96950</v>
      </c>
      <c r="R137" t="str">
        <f t="shared" si="90"/>
        <v>UNITED STATES OF AMERICA</v>
      </c>
      <c r="S137" t="str">
        <f>""</f>
        <v/>
      </c>
      <c r="T137" s="5" t="str">
        <f t="shared" si="97"/>
        <v>16702347000</v>
      </c>
      <c r="U137" t="str">
        <f>""</f>
        <v/>
      </c>
      <c r="V137" s="5" t="str">
        <f>""</f>
        <v/>
      </c>
      <c r="W137" t="str">
        <f t="shared" si="98"/>
        <v>hr@coraloceansaipan.com</v>
      </c>
      <c r="X137" t="str">
        <f>"SUWASO CORPPORATION "</f>
        <v xml:space="preserve">SUWASO CORPPORATION </v>
      </c>
      <c r="Y137" t="str">
        <f t="shared" si="100"/>
        <v xml:space="preserve">CORAL OCEAN RESORT </v>
      </c>
      <c r="Z137" t="str">
        <f>"4940 AS GONNO RD. KOBLERVILLE "</f>
        <v xml:space="preserve">4940 AS GONNO RD. KOBLERVILLE </v>
      </c>
      <c r="AA137" t="str">
        <f t="shared" si="101"/>
        <v>P.O BOX 501160</v>
      </c>
      <c r="AB137" t="str">
        <f t="shared" si="102"/>
        <v xml:space="preserve">SAIPAN </v>
      </c>
      <c r="AC137" t="str">
        <f t="shared" si="91"/>
        <v>MP</v>
      </c>
      <c r="AD137" t="str">
        <f t="shared" si="71"/>
        <v>96950</v>
      </c>
      <c r="AE137" t="str">
        <f t="shared" si="92"/>
        <v>UNITED STATES OF AMERICA</v>
      </c>
      <c r="AF137" t="str">
        <f>""</f>
        <v/>
      </c>
      <c r="AG137" s="4" t="str">
        <f t="shared" si="103"/>
        <v>16702347000</v>
      </c>
      <c r="AH137" t="str">
        <f>""</f>
        <v/>
      </c>
      <c r="AI137" t="str">
        <f t="shared" si="104"/>
        <v>721110</v>
      </c>
      <c r="AJ137" t="s">
        <v>79</v>
      </c>
      <c r="AK137" t="s">
        <v>79</v>
      </c>
      <c r="AL137" t="s">
        <v>80</v>
      </c>
      <c r="AM137" t="s">
        <v>79</v>
      </c>
      <c r="AP137" t="str">
        <f>"MECHANIC"</f>
        <v>MECHANIC</v>
      </c>
      <c r="AQ137" t="str">
        <f>"49-3023.00"</f>
        <v>49-3023.00</v>
      </c>
      <c r="AR137" t="str">
        <f>"Automotive Service Technicians and Mechanics"</f>
        <v>Automotive Service Technicians and Mechanics</v>
      </c>
      <c r="AS137" t="str">
        <f>"ENGINEERING MANAGER "</f>
        <v xml:space="preserve">ENGINEERING MANAGER </v>
      </c>
      <c r="AT137" t="s">
        <v>79</v>
      </c>
      <c r="AU137" t="str">
        <f>""</f>
        <v/>
      </c>
      <c r="AV137" t="str">
        <f>""</f>
        <v/>
      </c>
      <c r="AW137" t="s">
        <v>79</v>
      </c>
      <c r="AX137" t="str">
        <f>""</f>
        <v/>
      </c>
      <c r="AY137" t="s">
        <v>84</v>
      </c>
      <c r="BA137" t="s">
        <v>80</v>
      </c>
      <c r="BB137" t="s">
        <v>79</v>
      </c>
      <c r="BD137" t="s">
        <v>79</v>
      </c>
      <c r="BG137" t="s">
        <v>82</v>
      </c>
      <c r="BH137">
        <v>12</v>
      </c>
      <c r="BI137" t="s">
        <v>1400</v>
      </c>
      <c r="BJ137" s="2" t="s">
        <v>1401</v>
      </c>
      <c r="BK137" t="str">
        <f>"4940 AS GONNO RD. KOBLERVILLE "</f>
        <v xml:space="preserve">4940 AS GONNO RD. KOBLERVILLE </v>
      </c>
      <c r="BL137" t="str">
        <f>"P.O BOX 501160"</f>
        <v>P.O BOX 501160</v>
      </c>
      <c r="BM137" t="str">
        <f t="shared" si="105"/>
        <v xml:space="preserve">SAIPAN </v>
      </c>
      <c r="BO137" t="s">
        <v>83</v>
      </c>
      <c r="BP137" s="4" t="str">
        <f t="shared" si="72"/>
        <v>96950</v>
      </c>
      <c r="BQ137" t="s">
        <v>79</v>
      </c>
      <c r="BR137" t="str">
        <f>"49-3023.00"</f>
        <v>49-3023.00</v>
      </c>
      <c r="BS137" t="s">
        <v>269</v>
      </c>
      <c r="BT137" s="3">
        <v>9.93</v>
      </c>
      <c r="BU137" t="s">
        <v>80</v>
      </c>
      <c r="BV137" t="s">
        <v>90</v>
      </c>
      <c r="BW137" t="s">
        <v>92</v>
      </c>
      <c r="BZ137" s="1">
        <v>45107</v>
      </c>
    </row>
    <row r="138" spans="1:78" ht="15" customHeight="1" x14ac:dyDescent="0.25">
      <c r="A138" t="s">
        <v>1402</v>
      </c>
      <c r="B138" t="s">
        <v>94</v>
      </c>
      <c r="C138" s="1">
        <v>44865</v>
      </c>
      <c r="D138" s="1">
        <v>44907</v>
      </c>
      <c r="H138" t="s">
        <v>78</v>
      </c>
      <c r="I138" t="str">
        <f t="shared" si="106"/>
        <v>PARK</v>
      </c>
      <c r="J138" t="str">
        <f>"EUN PYUNG "</f>
        <v xml:space="preserve">EUN PYUNG </v>
      </c>
      <c r="K138" t="str">
        <f>""</f>
        <v/>
      </c>
      <c r="L138" t="str">
        <f t="shared" si="94"/>
        <v xml:space="preserve">GENERAL MANAGER </v>
      </c>
      <c r="M138" t="str">
        <f t="shared" si="107"/>
        <v xml:space="preserve">4940 AS GONNO RD. KOBLERVILLE </v>
      </c>
      <c r="N138" t="str">
        <f t="shared" si="95"/>
        <v>P.O BOX 501160</v>
      </c>
      <c r="O138" t="str">
        <f t="shared" si="96"/>
        <v xml:space="preserve">SAIPAN </v>
      </c>
      <c r="P138" t="str">
        <f t="shared" si="69"/>
        <v>MP</v>
      </c>
      <c r="Q138" s="4" t="str">
        <f t="shared" si="70"/>
        <v>96950</v>
      </c>
      <c r="R138" t="str">
        <f t="shared" si="90"/>
        <v>UNITED STATES OF AMERICA</v>
      </c>
      <c r="S138" t="str">
        <f>""</f>
        <v/>
      </c>
      <c r="T138" s="5" t="str">
        <f t="shared" si="97"/>
        <v>16702347000</v>
      </c>
      <c r="U138" t="str">
        <f>""</f>
        <v/>
      </c>
      <c r="V138" s="5" t="str">
        <f>""</f>
        <v/>
      </c>
      <c r="W138" t="str">
        <f t="shared" si="98"/>
        <v>hr@coraloceansaipan.com</v>
      </c>
      <c r="X138" t="str">
        <f>"SUWASO CORPORATION "</f>
        <v xml:space="preserve">SUWASO CORPORATION </v>
      </c>
      <c r="Y138" t="str">
        <f>"CORAL OVCEAN RESORT "</f>
        <v xml:space="preserve">CORAL OVCEAN RESORT </v>
      </c>
      <c r="Z138" t="str">
        <f>"4940 AS GONNO RD. KOBLERVILLE "</f>
        <v xml:space="preserve">4940 AS GONNO RD. KOBLERVILLE </v>
      </c>
      <c r="AA138" t="str">
        <f t="shared" si="101"/>
        <v>P.O BOX 501160</v>
      </c>
      <c r="AB138" t="str">
        <f t="shared" si="102"/>
        <v xml:space="preserve">SAIPAN </v>
      </c>
      <c r="AC138" t="str">
        <f t="shared" si="91"/>
        <v>MP</v>
      </c>
      <c r="AD138" t="str">
        <f t="shared" si="71"/>
        <v>96950</v>
      </c>
      <c r="AE138" t="str">
        <f t="shared" si="92"/>
        <v>UNITED STATES OF AMERICA</v>
      </c>
      <c r="AF138" t="str">
        <f>""</f>
        <v/>
      </c>
      <c r="AG138" s="4" t="str">
        <f t="shared" si="103"/>
        <v>16702347000</v>
      </c>
      <c r="AH138" t="str">
        <f>""</f>
        <v/>
      </c>
      <c r="AI138" t="str">
        <f t="shared" si="104"/>
        <v>721110</v>
      </c>
      <c r="AJ138" t="s">
        <v>79</v>
      </c>
      <c r="AK138" t="s">
        <v>79</v>
      </c>
      <c r="AL138" t="s">
        <v>80</v>
      </c>
      <c r="AM138" t="s">
        <v>79</v>
      </c>
      <c r="AP138" t="str">
        <f>"RESTAURANT SUPERVISOR "</f>
        <v xml:space="preserve">RESTAURANT SUPERVISOR </v>
      </c>
      <c r="AQ138" t="str">
        <f>"35-1012.00"</f>
        <v>35-1012.00</v>
      </c>
      <c r="AR138" t="str">
        <f>"First-Line Supervisors of Food Preparation and Serving Workers"</f>
        <v>First-Line Supervisors of Food Preparation and Serving Workers</v>
      </c>
      <c r="AS138" t="str">
        <f>"RESTAURANT MANAGER "</f>
        <v xml:space="preserve">RESTAURANT MANAGER </v>
      </c>
      <c r="AT138" t="s">
        <v>82</v>
      </c>
      <c r="AU138" t="str">
        <f>"14"</f>
        <v>14</v>
      </c>
      <c r="AV138" t="str">
        <f>"Subordinate"</f>
        <v>Subordinate</v>
      </c>
      <c r="AW138" t="s">
        <v>79</v>
      </c>
      <c r="AX138" t="str">
        <f>""</f>
        <v/>
      </c>
      <c r="AY138" t="s">
        <v>84</v>
      </c>
      <c r="BA138" t="s">
        <v>80</v>
      </c>
      <c r="BB138" t="s">
        <v>79</v>
      </c>
      <c r="BD138" t="s">
        <v>79</v>
      </c>
      <c r="BG138" t="s">
        <v>82</v>
      </c>
      <c r="BH138">
        <v>24</v>
      </c>
      <c r="BI138" t="s">
        <v>1403</v>
      </c>
      <c r="BJ138" s="2" t="s">
        <v>1404</v>
      </c>
      <c r="BK138" t="str">
        <f>"4940 AS GONNO RD. KOBLERVILLE "</f>
        <v xml:space="preserve">4940 AS GONNO RD. KOBLERVILLE </v>
      </c>
      <c r="BL138" t="str">
        <f>"P.O BOX 501160"</f>
        <v>P.O BOX 501160</v>
      </c>
      <c r="BM138" t="str">
        <f t="shared" si="105"/>
        <v xml:space="preserve">SAIPAN </v>
      </c>
      <c r="BO138" t="s">
        <v>83</v>
      </c>
      <c r="BP138" s="4" t="str">
        <f t="shared" si="72"/>
        <v>96950</v>
      </c>
      <c r="BQ138" t="s">
        <v>79</v>
      </c>
      <c r="BR138" t="str">
        <f>"35-1012.00"</f>
        <v>35-1012.00</v>
      </c>
      <c r="BS138" t="s">
        <v>694</v>
      </c>
      <c r="BT138" s="3">
        <v>9.75</v>
      </c>
      <c r="BU138" t="s">
        <v>80</v>
      </c>
      <c r="BV138" t="s">
        <v>90</v>
      </c>
      <c r="BW138" t="s">
        <v>92</v>
      </c>
      <c r="BZ138" s="1">
        <v>45107</v>
      </c>
    </row>
    <row r="139" spans="1:78" ht="15" customHeight="1" x14ac:dyDescent="0.25">
      <c r="A139" t="s">
        <v>1405</v>
      </c>
      <c r="B139" t="s">
        <v>94</v>
      </c>
      <c r="C139" s="1">
        <v>44865</v>
      </c>
      <c r="D139" s="1">
        <v>44907</v>
      </c>
      <c r="H139" t="s">
        <v>78</v>
      </c>
      <c r="I139" t="str">
        <f>"Manglona"</f>
        <v>Manglona</v>
      </c>
      <c r="J139" t="str">
        <f>"Jacqueline"</f>
        <v>Jacqueline</v>
      </c>
      <c r="K139" t="str">
        <f>""</f>
        <v/>
      </c>
      <c r="L139" t="str">
        <f>"Operations Manager"</f>
        <v>Operations Manager</v>
      </c>
      <c r="M139" t="str">
        <f>"1 SONGSONG VILLAGE, 597"</f>
        <v>1 SONGSONG VILLAGE, 597</v>
      </c>
      <c r="N139" t="str">
        <f>""</f>
        <v/>
      </c>
      <c r="O139" t="str">
        <f>"ROTA"</f>
        <v>ROTA</v>
      </c>
      <c r="P139" t="str">
        <f t="shared" si="69"/>
        <v>MP</v>
      </c>
      <c r="Q139" s="4" t="str">
        <f>"96951"</f>
        <v>96951</v>
      </c>
      <c r="R139" t="str">
        <f t="shared" si="90"/>
        <v>UNITED STATES OF AMERICA</v>
      </c>
      <c r="S139" t="str">
        <f>""</f>
        <v/>
      </c>
      <c r="T139" s="5" t="str">
        <f>"16702853559"</f>
        <v>16702853559</v>
      </c>
      <c r="U139" t="str">
        <f>""</f>
        <v/>
      </c>
      <c r="V139" s="5" t="str">
        <f>""</f>
        <v/>
      </c>
      <c r="W139" t="str">
        <f>"jackie.manglona@kinrit.com"</f>
        <v>jackie.manglona@kinrit.com</v>
      </c>
      <c r="X139" t="str">
        <f>"Kin &amp; Rit Enterprises"</f>
        <v>Kin &amp; Rit Enterprises</v>
      </c>
      <c r="Y139" t="str">
        <f>"Pizzaria Bar &amp; Grill"</f>
        <v>Pizzaria Bar &amp; Grill</v>
      </c>
      <c r="Z139" t="str">
        <f>"1 SONGSONG VILLAGE, 597"</f>
        <v>1 SONGSONG VILLAGE, 597</v>
      </c>
      <c r="AA139" t="str">
        <f>""</f>
        <v/>
      </c>
      <c r="AB139" t="str">
        <f>"ROTA"</f>
        <v>ROTA</v>
      </c>
      <c r="AC139" t="str">
        <f t="shared" si="91"/>
        <v>MP</v>
      </c>
      <c r="AD139" t="str">
        <f>"96951"</f>
        <v>96951</v>
      </c>
      <c r="AE139" t="str">
        <f t="shared" si="92"/>
        <v>UNITED STATES OF AMERICA</v>
      </c>
      <c r="AF139" t="str">
        <f>""</f>
        <v/>
      </c>
      <c r="AG139" s="4" t="str">
        <f>"16702853559"</f>
        <v>16702853559</v>
      </c>
      <c r="AH139" t="str">
        <f>""</f>
        <v/>
      </c>
      <c r="AI139" t="str">
        <f>"722511"</f>
        <v>722511</v>
      </c>
      <c r="AJ139" t="s">
        <v>79</v>
      </c>
      <c r="AK139" t="s">
        <v>79</v>
      </c>
      <c r="AL139" t="s">
        <v>80</v>
      </c>
      <c r="AM139" t="s">
        <v>79</v>
      </c>
      <c r="AP139" t="str">
        <f>"Cook"</f>
        <v>Cook</v>
      </c>
      <c r="AQ139" t="str">
        <f>"35-2014.00"</f>
        <v>35-2014.00</v>
      </c>
      <c r="AR139" t="str">
        <f>"Cooks, Restaurant"</f>
        <v>Cooks, Restaurant</v>
      </c>
      <c r="AS139" t="str">
        <f>"Manager"</f>
        <v>Manager</v>
      </c>
      <c r="AT139" t="s">
        <v>79</v>
      </c>
      <c r="AU139" t="str">
        <f>""</f>
        <v/>
      </c>
      <c r="AV139" t="str">
        <f>""</f>
        <v/>
      </c>
      <c r="AW139" t="s">
        <v>79</v>
      </c>
      <c r="AX139" t="str">
        <f>""</f>
        <v/>
      </c>
      <c r="AY139" t="s">
        <v>84</v>
      </c>
      <c r="BA139" t="s">
        <v>80</v>
      </c>
      <c r="BB139" t="s">
        <v>79</v>
      </c>
      <c r="BD139" t="s">
        <v>79</v>
      </c>
      <c r="BG139" t="s">
        <v>82</v>
      </c>
      <c r="BH139">
        <v>12</v>
      </c>
      <c r="BI139" t="s">
        <v>285</v>
      </c>
      <c r="BJ139" s="2" t="s">
        <v>1406</v>
      </c>
      <c r="BK139" t="str">
        <f>"1 SONGSONG VILLAGE, 597"</f>
        <v>1 SONGSONG VILLAGE, 597</v>
      </c>
      <c r="BL139" t="str">
        <f>""</f>
        <v/>
      </c>
      <c r="BM139" t="str">
        <f>"ROTA"</f>
        <v>ROTA</v>
      </c>
      <c r="BO139" t="s">
        <v>83</v>
      </c>
      <c r="BP139" s="4" t="str">
        <f>"96951"</f>
        <v>96951</v>
      </c>
      <c r="BQ139" t="s">
        <v>79</v>
      </c>
      <c r="BR139" t="str">
        <f>"35-2014.00"</f>
        <v>35-2014.00</v>
      </c>
      <c r="BS139" t="s">
        <v>117</v>
      </c>
      <c r="BT139" s="3">
        <v>8.5500000000000007</v>
      </c>
      <c r="BU139" t="s">
        <v>80</v>
      </c>
      <c r="BV139" t="s">
        <v>90</v>
      </c>
      <c r="BW139" t="s">
        <v>92</v>
      </c>
      <c r="BZ139" s="1">
        <v>45107</v>
      </c>
    </row>
    <row r="140" spans="1:78" ht="15" customHeight="1" x14ac:dyDescent="0.25">
      <c r="A140" t="s">
        <v>1407</v>
      </c>
      <c r="B140" t="s">
        <v>94</v>
      </c>
      <c r="C140" s="1">
        <v>44865</v>
      </c>
      <c r="D140" s="1">
        <v>44907</v>
      </c>
      <c r="H140" t="s">
        <v>78</v>
      </c>
      <c r="I140" t="str">
        <f>"Manglona"</f>
        <v>Manglona</v>
      </c>
      <c r="J140" t="str">
        <f>"Jacqueline"</f>
        <v>Jacqueline</v>
      </c>
      <c r="K140" t="str">
        <f>""</f>
        <v/>
      </c>
      <c r="L140" t="str">
        <f>"Operations Manager"</f>
        <v>Operations Manager</v>
      </c>
      <c r="M140" t="str">
        <f>"1 SONGSONG VILLAGE, 597"</f>
        <v>1 SONGSONG VILLAGE, 597</v>
      </c>
      <c r="N140" t="str">
        <f>""</f>
        <v/>
      </c>
      <c r="O140" t="str">
        <f>"ROTA"</f>
        <v>ROTA</v>
      </c>
      <c r="P140" t="str">
        <f t="shared" si="69"/>
        <v>MP</v>
      </c>
      <c r="Q140" s="4" t="str">
        <f>"96951"</f>
        <v>96951</v>
      </c>
      <c r="R140" t="str">
        <f t="shared" si="90"/>
        <v>UNITED STATES OF AMERICA</v>
      </c>
      <c r="S140" t="str">
        <f>""</f>
        <v/>
      </c>
      <c r="T140" s="5" t="str">
        <f>"16702853559"</f>
        <v>16702853559</v>
      </c>
      <c r="U140" t="str">
        <f>""</f>
        <v/>
      </c>
      <c r="V140" s="5" t="str">
        <f>""</f>
        <v/>
      </c>
      <c r="W140" t="str">
        <f>"jackie.manglona@kinrit.com"</f>
        <v>jackie.manglona@kinrit.com</v>
      </c>
      <c r="X140" t="str">
        <f>"Kin &amp; Rit Enterprises"</f>
        <v>Kin &amp; Rit Enterprises</v>
      </c>
      <c r="Y140" t="str">
        <f>"Coral Garden Hotel"</f>
        <v>Coral Garden Hotel</v>
      </c>
      <c r="Z140" t="str">
        <f>"1 SONGSONG VILLAGE, 597"</f>
        <v>1 SONGSONG VILLAGE, 597</v>
      </c>
      <c r="AA140" t="str">
        <f>""</f>
        <v/>
      </c>
      <c r="AB140" t="str">
        <f>"ROTA"</f>
        <v>ROTA</v>
      </c>
      <c r="AC140" t="str">
        <f t="shared" si="91"/>
        <v>MP</v>
      </c>
      <c r="AD140" t="str">
        <f>"96951"</f>
        <v>96951</v>
      </c>
      <c r="AE140" t="str">
        <f t="shared" si="92"/>
        <v>UNITED STATES OF AMERICA</v>
      </c>
      <c r="AF140" t="str">
        <f>""</f>
        <v/>
      </c>
      <c r="AG140" s="4" t="str">
        <f>"16702853559"</f>
        <v>16702853559</v>
      </c>
      <c r="AH140" t="str">
        <f>""</f>
        <v/>
      </c>
      <c r="AI140" t="str">
        <f>"72111"</f>
        <v>72111</v>
      </c>
      <c r="AJ140" t="s">
        <v>79</v>
      </c>
      <c r="AK140" t="s">
        <v>79</v>
      </c>
      <c r="AL140" t="s">
        <v>80</v>
      </c>
      <c r="AM140" t="s">
        <v>79</v>
      </c>
      <c r="AP140" t="str">
        <f>"Front Desk Clerk"</f>
        <v>Front Desk Clerk</v>
      </c>
      <c r="AQ140" t="str">
        <f>"43-4081.00"</f>
        <v>43-4081.00</v>
      </c>
      <c r="AR140" t="str">
        <f>"Hotel, Motel, and Resort Desk Clerks"</f>
        <v>Hotel, Motel, and Resort Desk Clerks</v>
      </c>
      <c r="AS140" t="str">
        <f>"Manager"</f>
        <v>Manager</v>
      </c>
      <c r="AT140" t="s">
        <v>79</v>
      </c>
      <c r="AU140" t="str">
        <f>""</f>
        <v/>
      </c>
      <c r="AV140" t="str">
        <f>""</f>
        <v/>
      </c>
      <c r="AW140" t="s">
        <v>79</v>
      </c>
      <c r="AX140" t="str">
        <f>""</f>
        <v/>
      </c>
      <c r="AY140" t="s">
        <v>84</v>
      </c>
      <c r="BA140" t="s">
        <v>80</v>
      </c>
      <c r="BB140" t="s">
        <v>79</v>
      </c>
      <c r="BD140" t="s">
        <v>79</v>
      </c>
      <c r="BG140" t="s">
        <v>82</v>
      </c>
      <c r="BH140">
        <v>6</v>
      </c>
      <c r="BI140" t="s">
        <v>1408</v>
      </c>
      <c r="BJ140" t="s">
        <v>1409</v>
      </c>
      <c r="BK140" t="str">
        <f>"1 SONGSONG VILLAGE, 597"</f>
        <v>1 SONGSONG VILLAGE, 597</v>
      </c>
      <c r="BL140" t="str">
        <f>""</f>
        <v/>
      </c>
      <c r="BM140" t="str">
        <f>"ROTA"</f>
        <v>ROTA</v>
      </c>
      <c r="BO140" t="s">
        <v>83</v>
      </c>
      <c r="BP140" s="4" t="str">
        <f>"96951"</f>
        <v>96951</v>
      </c>
      <c r="BQ140" t="s">
        <v>79</v>
      </c>
      <c r="BR140" t="str">
        <f>"43-4171.00"</f>
        <v>43-4171.00</v>
      </c>
      <c r="BS140" t="s">
        <v>1410</v>
      </c>
      <c r="BT140" s="3">
        <v>12.22</v>
      </c>
      <c r="BU140" t="s">
        <v>80</v>
      </c>
      <c r="BV140" t="s">
        <v>90</v>
      </c>
      <c r="BW140" t="s">
        <v>92</v>
      </c>
      <c r="BZ140" s="1">
        <v>45107</v>
      </c>
    </row>
    <row r="141" spans="1:78" ht="15" customHeight="1" x14ac:dyDescent="0.25">
      <c r="A141" t="s">
        <v>1411</v>
      </c>
      <c r="B141" t="s">
        <v>94</v>
      </c>
      <c r="C141" s="1">
        <v>44865</v>
      </c>
      <c r="D141" s="1">
        <v>44907</v>
      </c>
      <c r="H141" t="s">
        <v>78</v>
      </c>
      <c r="I141" t="str">
        <f>"Manglona"</f>
        <v>Manglona</v>
      </c>
      <c r="J141" t="str">
        <f>"Jacqueline"</f>
        <v>Jacqueline</v>
      </c>
      <c r="K141" t="str">
        <f>""</f>
        <v/>
      </c>
      <c r="L141" t="str">
        <f>"Manager"</f>
        <v>Manager</v>
      </c>
      <c r="M141" t="str">
        <f>"PO BOX 597"</f>
        <v>PO BOX 597</v>
      </c>
      <c r="N141" t="str">
        <f>""</f>
        <v/>
      </c>
      <c r="O141" t="str">
        <f>"ROTA"</f>
        <v>ROTA</v>
      </c>
      <c r="P141" t="str">
        <f t="shared" si="69"/>
        <v>MP</v>
      </c>
      <c r="Q141" s="4" t="str">
        <f>"96951"</f>
        <v>96951</v>
      </c>
      <c r="R141" t="str">
        <f t="shared" si="90"/>
        <v>UNITED STATES OF AMERICA</v>
      </c>
      <c r="S141" t="str">
        <f>""</f>
        <v/>
      </c>
      <c r="T141" s="5" t="str">
        <f>"16702853559"</f>
        <v>16702853559</v>
      </c>
      <c r="U141" t="str">
        <f>""</f>
        <v/>
      </c>
      <c r="V141" s="5" t="str">
        <f>""</f>
        <v/>
      </c>
      <c r="W141" t="str">
        <f>"jackie.manglona@kinrit.com"</f>
        <v>jackie.manglona@kinrit.com</v>
      </c>
      <c r="X141" t="str">
        <f>"Kin &amp; Rit Enterprises"</f>
        <v>Kin &amp; Rit Enterprises</v>
      </c>
      <c r="Y141" t="str">
        <f>"Zega Farms"</f>
        <v>Zega Farms</v>
      </c>
      <c r="Z141" t="str">
        <f>"PO BOX 597"</f>
        <v>PO BOX 597</v>
      </c>
      <c r="AA141" t="str">
        <f>""</f>
        <v/>
      </c>
      <c r="AB141" t="str">
        <f>"ROTA"</f>
        <v>ROTA</v>
      </c>
      <c r="AC141" t="str">
        <f t="shared" si="91"/>
        <v>MP</v>
      </c>
      <c r="AD141" t="str">
        <f>"96951"</f>
        <v>96951</v>
      </c>
      <c r="AE141" t="str">
        <f t="shared" si="92"/>
        <v>UNITED STATES OF AMERICA</v>
      </c>
      <c r="AF141" t="str">
        <f>""</f>
        <v/>
      </c>
      <c r="AG141" s="4" t="str">
        <f>"16702853559"</f>
        <v>16702853559</v>
      </c>
      <c r="AH141" t="str">
        <f>""</f>
        <v/>
      </c>
      <c r="AI141" t="str">
        <f>"1112"</f>
        <v>1112</v>
      </c>
      <c r="AJ141" t="s">
        <v>79</v>
      </c>
      <c r="AK141" t="s">
        <v>79</v>
      </c>
      <c r="AL141" t="s">
        <v>80</v>
      </c>
      <c r="AM141" t="s">
        <v>79</v>
      </c>
      <c r="AP141" t="str">
        <f>"Farmer"</f>
        <v>Farmer</v>
      </c>
      <c r="AQ141" t="str">
        <f>"45-2093.00"</f>
        <v>45-2093.00</v>
      </c>
      <c r="AR141" t="str">
        <f>"Farmworkers, Farm, Ranch, and Aquacultural Animals"</f>
        <v>Farmworkers, Farm, Ranch, and Aquacultural Animals</v>
      </c>
      <c r="AS141" t="str">
        <f>"Manager"</f>
        <v>Manager</v>
      </c>
      <c r="AT141" t="s">
        <v>79</v>
      </c>
      <c r="AU141" t="str">
        <f>""</f>
        <v/>
      </c>
      <c r="AV141" t="str">
        <f>""</f>
        <v/>
      </c>
      <c r="AW141" t="s">
        <v>79</v>
      </c>
      <c r="AX141" t="str">
        <f>""</f>
        <v/>
      </c>
      <c r="AY141" t="s">
        <v>81</v>
      </c>
      <c r="BA141" t="s">
        <v>80</v>
      </c>
      <c r="BB141" t="s">
        <v>79</v>
      </c>
      <c r="BD141" t="s">
        <v>79</v>
      </c>
      <c r="BG141" t="s">
        <v>79</v>
      </c>
      <c r="BJ141" s="2" t="s">
        <v>1412</v>
      </c>
      <c r="BK141" t="str">
        <f>"Sinapalo 597"</f>
        <v>Sinapalo 597</v>
      </c>
      <c r="BL141" t="str">
        <f>""</f>
        <v/>
      </c>
      <c r="BM141" t="str">
        <f>"Rota"</f>
        <v>Rota</v>
      </c>
      <c r="BO141" t="s">
        <v>83</v>
      </c>
      <c r="BP141" s="4" t="str">
        <f>"96951"</f>
        <v>96951</v>
      </c>
      <c r="BQ141" t="s">
        <v>79</v>
      </c>
      <c r="BR141" t="str">
        <f>"45-2092.00"</f>
        <v>45-2092.00</v>
      </c>
      <c r="BS141" t="s">
        <v>978</v>
      </c>
      <c r="BT141" s="3">
        <v>10.27</v>
      </c>
      <c r="BU141" t="s">
        <v>80</v>
      </c>
      <c r="BV141" t="s">
        <v>90</v>
      </c>
      <c r="BW141" t="s">
        <v>265</v>
      </c>
      <c r="BZ141" s="1">
        <v>45107</v>
      </c>
    </row>
    <row r="142" spans="1:78" ht="15" customHeight="1" x14ac:dyDescent="0.25">
      <c r="A142" t="s">
        <v>1328</v>
      </c>
      <c r="B142" t="s">
        <v>94</v>
      </c>
      <c r="C142" s="1">
        <v>44864</v>
      </c>
      <c r="D142" s="1">
        <v>44907</v>
      </c>
      <c r="H142" t="s">
        <v>78</v>
      </c>
      <c r="I142" t="str">
        <f>"THOMPSON"</f>
        <v>THOMPSON</v>
      </c>
      <c r="J142" t="str">
        <f>"SCOT"</f>
        <v>SCOT</v>
      </c>
      <c r="K142" t="str">
        <f>"LEDREW "</f>
        <v xml:space="preserve">LEDREW </v>
      </c>
      <c r="L142" t="str">
        <f>"PRESIDENT"</f>
        <v>PRESIDENT</v>
      </c>
      <c r="M142" t="str">
        <f>"P.O. BOX 10001, PMB 807"</f>
        <v>P.O. BOX 10001, PMB 807</v>
      </c>
      <c r="N142" t="str">
        <f>""</f>
        <v/>
      </c>
      <c r="O142" t="str">
        <f>"SAIPAN"</f>
        <v>SAIPAN</v>
      </c>
      <c r="P142" t="str">
        <f t="shared" si="69"/>
        <v>MP</v>
      </c>
      <c r="Q142" s="4" t="str">
        <f t="shared" ref="Q142:Q158" si="108">"96950"</f>
        <v>96950</v>
      </c>
      <c r="R142" t="str">
        <f t="shared" si="90"/>
        <v>UNITED STATES OF AMERICA</v>
      </c>
      <c r="S142" t="str">
        <f>"N/A"</f>
        <v>N/A</v>
      </c>
      <c r="T142" s="5" t="str">
        <f>"16702877268"</f>
        <v>16702877268</v>
      </c>
      <c r="U142" t="str">
        <f>""</f>
        <v/>
      </c>
      <c r="V142" s="5" t="str">
        <f>""</f>
        <v/>
      </c>
      <c r="W142" t="str">
        <f>"dentalcaresaipan@gmail.com"</f>
        <v>dentalcaresaipan@gmail.com</v>
      </c>
      <c r="X142" t="str">
        <f>"DENTAL CARE, INC. "</f>
        <v xml:space="preserve">DENTAL CARE, INC. </v>
      </c>
      <c r="Y142" t="str">
        <f>"DENTAL CARE"</f>
        <v>DENTAL CARE</v>
      </c>
      <c r="Z142" t="str">
        <f>"P.O. BOX 10001, PMB 807"</f>
        <v>P.O. BOX 10001, PMB 807</v>
      </c>
      <c r="AA142" t="str">
        <f>"SUITE 103, D'TORRES BLDG. MIDDLE ROAD, GARAPAN "</f>
        <v xml:space="preserve">SUITE 103, D'TORRES BLDG. MIDDLE ROAD, GARAPAN </v>
      </c>
      <c r="AB142" t="str">
        <f>"SAIPAN"</f>
        <v>SAIPAN</v>
      </c>
      <c r="AC142" t="str">
        <f t="shared" si="91"/>
        <v>MP</v>
      </c>
      <c r="AD142" t="str">
        <f t="shared" ref="AD142:AD173" si="109">"96950"</f>
        <v>96950</v>
      </c>
      <c r="AE142" t="str">
        <f t="shared" si="92"/>
        <v>UNITED STATES OF AMERICA</v>
      </c>
      <c r="AF142" t="str">
        <f>"N/A"</f>
        <v>N/A</v>
      </c>
      <c r="AG142" s="4" t="str">
        <f>"16702877268"</f>
        <v>16702877268</v>
      </c>
      <c r="AH142" t="str">
        <f>""</f>
        <v/>
      </c>
      <c r="AI142" t="str">
        <f>"621210"</f>
        <v>621210</v>
      </c>
      <c r="AJ142" t="s">
        <v>79</v>
      </c>
      <c r="AK142" t="s">
        <v>79</v>
      </c>
      <c r="AL142" t="s">
        <v>80</v>
      </c>
      <c r="AM142" t="s">
        <v>79</v>
      </c>
      <c r="AP142" t="str">
        <f>"DENTAL ASSISTANT"</f>
        <v>DENTAL ASSISTANT</v>
      </c>
      <c r="AQ142" t="str">
        <f>"31-9091.00"</f>
        <v>31-9091.00</v>
      </c>
      <c r="AR142" t="str">
        <f>"Dental Assistants"</f>
        <v>Dental Assistants</v>
      </c>
      <c r="AS142" t="str">
        <f>"DENTIST"</f>
        <v>DENTIST</v>
      </c>
      <c r="AT142" t="s">
        <v>79</v>
      </c>
      <c r="AU142" t="str">
        <f>""</f>
        <v/>
      </c>
      <c r="AV142" t="str">
        <f>""</f>
        <v/>
      </c>
      <c r="AW142" t="s">
        <v>79</v>
      </c>
      <c r="AX142" t="str">
        <f>""</f>
        <v/>
      </c>
      <c r="AY142" t="s">
        <v>124</v>
      </c>
      <c r="BA142" t="s">
        <v>1329</v>
      </c>
      <c r="BB142" t="s">
        <v>79</v>
      </c>
      <c r="BD142" t="s">
        <v>79</v>
      </c>
      <c r="BG142" t="s">
        <v>82</v>
      </c>
      <c r="BH142">
        <v>24</v>
      </c>
      <c r="BI142" t="s">
        <v>1330</v>
      </c>
      <c r="BJ142" s="2" t="s">
        <v>1331</v>
      </c>
      <c r="BK142" t="str">
        <f>"SUITE 103, D'TORRES BLDG., MIDDLE ROAD"</f>
        <v>SUITE 103, D'TORRES BLDG., MIDDLE ROAD</v>
      </c>
      <c r="BL142" t="str">
        <f>"GARAPAN"</f>
        <v>GARAPAN</v>
      </c>
      <c r="BM142" t="str">
        <f>"SAIPAN"</f>
        <v>SAIPAN</v>
      </c>
      <c r="BO142" t="s">
        <v>83</v>
      </c>
      <c r="BP142" s="4" t="str">
        <f t="shared" ref="BP142:BP149" si="110">"96950"</f>
        <v>96950</v>
      </c>
      <c r="BQ142" t="s">
        <v>79</v>
      </c>
      <c r="BR142" t="str">
        <f>"31-9091.00"</f>
        <v>31-9091.00</v>
      </c>
      <c r="BS142" t="s">
        <v>1332</v>
      </c>
      <c r="BT142" s="3">
        <v>11.46</v>
      </c>
      <c r="BU142" t="s">
        <v>80</v>
      </c>
      <c r="BV142" t="s">
        <v>90</v>
      </c>
      <c r="BW142" t="s">
        <v>92</v>
      </c>
      <c r="BZ142" s="1">
        <v>45107</v>
      </c>
    </row>
    <row r="143" spans="1:78" ht="15" customHeight="1" x14ac:dyDescent="0.25">
      <c r="A143" t="s">
        <v>1333</v>
      </c>
      <c r="B143" t="s">
        <v>94</v>
      </c>
      <c r="C143" s="1">
        <v>44864</v>
      </c>
      <c r="D143" s="1">
        <v>44907</v>
      </c>
      <c r="H143" t="s">
        <v>78</v>
      </c>
      <c r="I143" t="str">
        <f>"LEE"</f>
        <v>LEE</v>
      </c>
      <c r="J143" t="str">
        <f>"YONG SOO"</f>
        <v>YONG SOO</v>
      </c>
      <c r="K143" t="str">
        <f>"N/A"</f>
        <v>N/A</v>
      </c>
      <c r="L143" t="str">
        <f>"SECRETARY"</f>
        <v>SECRETARY</v>
      </c>
      <c r="M143" t="str">
        <f>"P.O. BOX 505719, KOBLERVILLE ROAD"</f>
        <v>P.O. BOX 505719, KOBLERVILLE ROAD</v>
      </c>
      <c r="N143" t="str">
        <f>"KOBVLERVILLE"</f>
        <v>KOBVLERVILLE</v>
      </c>
      <c r="O143" t="str">
        <f>"SAIPAN"</f>
        <v>SAIPAN</v>
      </c>
      <c r="P143" t="str">
        <f t="shared" si="69"/>
        <v>MP</v>
      </c>
      <c r="Q143" s="4" t="str">
        <f t="shared" si="108"/>
        <v>96950</v>
      </c>
      <c r="R143" t="str">
        <f t="shared" si="90"/>
        <v>UNITED STATES OF AMERICA</v>
      </c>
      <c r="S143" t="str">
        <f>"MP"</f>
        <v>MP</v>
      </c>
      <c r="T143" s="5" t="str">
        <f>"16702880332"</f>
        <v>16702880332</v>
      </c>
      <c r="U143" t="str">
        <f>""</f>
        <v/>
      </c>
      <c r="V143" s="5" t="str">
        <f>""</f>
        <v/>
      </c>
      <c r="W143" t="str">
        <f>"rancorporation@yahoo.com"</f>
        <v>rancorporation@yahoo.com</v>
      </c>
      <c r="X143" t="str">
        <f>"RAN CORPORATION"</f>
        <v>RAN CORPORATION</v>
      </c>
      <c r="Y143" t="str">
        <f>"NOAH WATER TANK"</f>
        <v>NOAH WATER TANK</v>
      </c>
      <c r="Z143" t="str">
        <f>"P.O. BOX 505719, KOBLERVILLE ROAD"</f>
        <v>P.O. BOX 505719, KOBLERVILLE ROAD</v>
      </c>
      <c r="AA143" t="str">
        <f>"KOBVLERVILLE"</f>
        <v>KOBVLERVILLE</v>
      </c>
      <c r="AB143" t="str">
        <f>"SAIPAN"</f>
        <v>SAIPAN</v>
      </c>
      <c r="AC143" t="str">
        <f t="shared" si="91"/>
        <v>MP</v>
      </c>
      <c r="AD143" t="str">
        <f t="shared" si="109"/>
        <v>96950</v>
      </c>
      <c r="AE143" t="str">
        <f t="shared" si="92"/>
        <v>UNITED STATES OF AMERICA</v>
      </c>
      <c r="AF143" t="str">
        <f>"MP"</f>
        <v>MP</v>
      </c>
      <c r="AG143" s="4" t="str">
        <f>"16702880332"</f>
        <v>16702880332</v>
      </c>
      <c r="AH143" t="str">
        <f>""</f>
        <v/>
      </c>
      <c r="AI143" t="str">
        <f>"45439"</f>
        <v>45439</v>
      </c>
      <c r="AJ143" t="s">
        <v>79</v>
      </c>
      <c r="AK143" t="s">
        <v>79</v>
      </c>
      <c r="AL143" t="s">
        <v>80</v>
      </c>
      <c r="AM143" t="s">
        <v>79</v>
      </c>
      <c r="AP143" t="str">
        <f>"FIBERGLASSMEN"</f>
        <v>FIBERGLASSMEN</v>
      </c>
      <c r="AQ143" t="str">
        <f>"51-2051.00"</f>
        <v>51-2051.00</v>
      </c>
      <c r="AR143" t="str">
        <f>"Fiberglass Laminators and Fabricators"</f>
        <v>Fiberglass Laminators and Fabricators</v>
      </c>
      <c r="AS143" t="str">
        <f>"MANAGER"</f>
        <v>MANAGER</v>
      </c>
      <c r="AT143" t="s">
        <v>79</v>
      </c>
      <c r="AU143" t="str">
        <f>""</f>
        <v/>
      </c>
      <c r="AV143" t="str">
        <f>""</f>
        <v/>
      </c>
      <c r="AW143" t="s">
        <v>79</v>
      </c>
      <c r="AX143" t="str">
        <f>""</f>
        <v/>
      </c>
      <c r="AY143" t="s">
        <v>84</v>
      </c>
      <c r="BA143" t="s">
        <v>80</v>
      </c>
      <c r="BB143" t="s">
        <v>79</v>
      </c>
      <c r="BD143" t="s">
        <v>79</v>
      </c>
      <c r="BG143" t="s">
        <v>82</v>
      </c>
      <c r="BH143">
        <v>12</v>
      </c>
      <c r="BI143" t="s">
        <v>1334</v>
      </c>
      <c r="BJ143" t="s">
        <v>1335</v>
      </c>
      <c r="BK143" t="str">
        <f>"KOBLERVILLE ROAD"</f>
        <v>KOBLERVILLE ROAD</v>
      </c>
      <c r="BL143" t="str">
        <f>"KOBVLERVILLE"</f>
        <v>KOBVLERVILLE</v>
      </c>
      <c r="BM143" t="str">
        <f>"SAIPAN"</f>
        <v>SAIPAN</v>
      </c>
      <c r="BO143" t="s">
        <v>83</v>
      </c>
      <c r="BP143" s="4" t="str">
        <f t="shared" si="110"/>
        <v>96950</v>
      </c>
      <c r="BQ143" t="s">
        <v>79</v>
      </c>
      <c r="BR143" t="str">
        <f>"51-2051.00"</f>
        <v>51-2051.00</v>
      </c>
      <c r="BS143" t="s">
        <v>1336</v>
      </c>
      <c r="BT143" s="3">
        <v>13.19</v>
      </c>
      <c r="BU143" t="s">
        <v>80</v>
      </c>
      <c r="BV143" t="s">
        <v>90</v>
      </c>
      <c r="BW143" t="s">
        <v>265</v>
      </c>
      <c r="BZ143" s="1">
        <v>45107</v>
      </c>
    </row>
    <row r="144" spans="1:78" ht="15" customHeight="1" x14ac:dyDescent="0.25">
      <c r="A144" t="s">
        <v>1337</v>
      </c>
      <c r="B144" t="s">
        <v>94</v>
      </c>
      <c r="C144" s="1">
        <v>44864</v>
      </c>
      <c r="D144" s="1">
        <v>44907</v>
      </c>
      <c r="H144" t="s">
        <v>78</v>
      </c>
      <c r="I144" t="str">
        <f>"THOMPSON"</f>
        <v>THOMPSON</v>
      </c>
      <c r="J144" t="str">
        <f>"SCOT "</f>
        <v xml:space="preserve">SCOT </v>
      </c>
      <c r="K144" t="str">
        <f>"LEDREW"</f>
        <v>LEDREW</v>
      </c>
      <c r="L144" t="str">
        <f>"PRESIDENT"</f>
        <v>PRESIDENT</v>
      </c>
      <c r="M144" t="str">
        <f>"P.O. BOX 10001, PMB 807"</f>
        <v>P.O. BOX 10001, PMB 807</v>
      </c>
      <c r="N144" t="str">
        <f>"D'TORRES BLDG. MIDDLE ROAD, GARAPAN, SUITE 103"</f>
        <v>D'TORRES BLDG. MIDDLE ROAD, GARAPAN, SUITE 103</v>
      </c>
      <c r="O144" t="str">
        <f>"SAIPAN"</f>
        <v>SAIPAN</v>
      </c>
      <c r="P144" t="str">
        <f t="shared" si="69"/>
        <v>MP</v>
      </c>
      <c r="Q144" s="4" t="str">
        <f t="shared" si="108"/>
        <v>96950</v>
      </c>
      <c r="R144" t="str">
        <f t="shared" si="90"/>
        <v>UNITED STATES OF AMERICA</v>
      </c>
      <c r="S144" t="str">
        <f>"N/A"</f>
        <v>N/A</v>
      </c>
      <c r="T144" s="5" t="str">
        <f>"16702877268"</f>
        <v>16702877268</v>
      </c>
      <c r="U144" t="str">
        <f>""</f>
        <v/>
      </c>
      <c r="V144" s="5" t="str">
        <f>""</f>
        <v/>
      </c>
      <c r="W144" t="str">
        <f>"dentalcaresaipan@gmail.com"</f>
        <v>dentalcaresaipan@gmail.com</v>
      </c>
      <c r="X144" t="str">
        <f>"DENTAL CARE, INC. "</f>
        <v xml:space="preserve">DENTAL CARE, INC. </v>
      </c>
      <c r="Y144" t="str">
        <f>"DENTAL CARE "</f>
        <v xml:space="preserve">DENTAL CARE </v>
      </c>
      <c r="Z144" t="str">
        <f>"P.O. BOX 10001, PMB 807 "</f>
        <v xml:space="preserve">P.O. BOX 10001, PMB 807 </v>
      </c>
      <c r="AA144" t="str">
        <f>"D'TORRES BLDG. MIDDLE ROAD, GARAPAN, SUITE 103 "</f>
        <v xml:space="preserve">D'TORRES BLDG. MIDDLE ROAD, GARAPAN, SUITE 103 </v>
      </c>
      <c r="AB144" t="str">
        <f>"SAIPAN"</f>
        <v>SAIPAN</v>
      </c>
      <c r="AC144" t="str">
        <f t="shared" si="91"/>
        <v>MP</v>
      </c>
      <c r="AD144" t="str">
        <f t="shared" si="109"/>
        <v>96950</v>
      </c>
      <c r="AE144" t="str">
        <f t="shared" si="92"/>
        <v>UNITED STATES OF AMERICA</v>
      </c>
      <c r="AF144" t="str">
        <f>"N/A"</f>
        <v>N/A</v>
      </c>
      <c r="AG144" s="4" t="str">
        <f>"16702877268"</f>
        <v>16702877268</v>
      </c>
      <c r="AH144" t="str">
        <f>""</f>
        <v/>
      </c>
      <c r="AI144" t="str">
        <f>"621210"</f>
        <v>621210</v>
      </c>
      <c r="AJ144" t="s">
        <v>79</v>
      </c>
      <c r="AK144" t="s">
        <v>79</v>
      </c>
      <c r="AL144" t="s">
        <v>80</v>
      </c>
      <c r="AM144" t="s">
        <v>79</v>
      </c>
      <c r="AP144" t="str">
        <f>"MEDICAL EQUIPMENT REPAIRER"</f>
        <v>MEDICAL EQUIPMENT REPAIRER</v>
      </c>
      <c r="AQ144" t="str">
        <f>"49-9062.00"</f>
        <v>49-9062.00</v>
      </c>
      <c r="AR144" t="str">
        <f>"Medical Equipment Repairers"</f>
        <v>Medical Equipment Repairers</v>
      </c>
      <c r="AS144" t="str">
        <f>"DENTIST"</f>
        <v>DENTIST</v>
      </c>
      <c r="AT144" t="s">
        <v>79</v>
      </c>
      <c r="AU144" t="str">
        <f>""</f>
        <v/>
      </c>
      <c r="AV144" t="str">
        <f>""</f>
        <v/>
      </c>
      <c r="AW144" t="s">
        <v>79</v>
      </c>
      <c r="AX144" t="str">
        <f>""</f>
        <v/>
      </c>
      <c r="AY144" t="s">
        <v>84</v>
      </c>
      <c r="BA144" t="s">
        <v>80</v>
      </c>
      <c r="BB144" t="s">
        <v>79</v>
      </c>
      <c r="BD144" t="s">
        <v>79</v>
      </c>
      <c r="BG144" t="s">
        <v>82</v>
      </c>
      <c r="BH144">
        <v>24</v>
      </c>
      <c r="BI144" t="s">
        <v>1338</v>
      </c>
      <c r="BJ144" s="2" t="s">
        <v>1339</v>
      </c>
      <c r="BK144" t="str">
        <f>"D'TORRES BLDG. MIDDLE RD, SUITE 103"</f>
        <v>D'TORRES BLDG. MIDDLE RD, SUITE 103</v>
      </c>
      <c r="BL144" t="str">
        <f>"GARAPAN"</f>
        <v>GARAPAN</v>
      </c>
      <c r="BM144" t="str">
        <f>"SAIPAN"</f>
        <v>SAIPAN</v>
      </c>
      <c r="BO144" t="s">
        <v>83</v>
      </c>
      <c r="BP144" s="4" t="str">
        <f t="shared" si="110"/>
        <v>96950</v>
      </c>
      <c r="BQ144" t="s">
        <v>79</v>
      </c>
      <c r="BR144" t="str">
        <f>"49-9062.00"</f>
        <v>49-9062.00</v>
      </c>
      <c r="BS144" t="s">
        <v>1340</v>
      </c>
      <c r="BT144" s="3">
        <v>9.56</v>
      </c>
      <c r="BU144" t="s">
        <v>80</v>
      </c>
      <c r="BV144" t="s">
        <v>90</v>
      </c>
      <c r="BW144" t="s">
        <v>92</v>
      </c>
      <c r="BZ144" s="1">
        <v>45107</v>
      </c>
    </row>
    <row r="145" spans="1:78" ht="15" customHeight="1" x14ac:dyDescent="0.25">
      <c r="A145" t="s">
        <v>1341</v>
      </c>
      <c r="B145" t="s">
        <v>94</v>
      </c>
      <c r="C145" s="1">
        <v>44864</v>
      </c>
      <c r="D145" s="1">
        <v>44907</v>
      </c>
      <c r="H145" t="s">
        <v>78</v>
      </c>
      <c r="I145" t="str">
        <f>"Deleon Guerrero"</f>
        <v>Deleon Guerrero</v>
      </c>
      <c r="J145" t="str">
        <f>"Ni"</f>
        <v>Ni</v>
      </c>
      <c r="K145" t="str">
        <f>"N"</f>
        <v>N</v>
      </c>
      <c r="L145" t="str">
        <f>"General Manager"</f>
        <v>General Manager</v>
      </c>
      <c r="M145" t="str">
        <f>"PMB 145 PO Box 10003"</f>
        <v>PMB 145 PO Box 10003</v>
      </c>
      <c r="N145" t="str">
        <f>""</f>
        <v/>
      </c>
      <c r="O145" t="str">
        <f>"Saipan"</f>
        <v>Saipan</v>
      </c>
      <c r="P145" t="str">
        <f t="shared" ref="P145:P158" si="111">"MP"</f>
        <v>MP</v>
      </c>
      <c r="Q145" s="4" t="str">
        <f t="shared" si="108"/>
        <v>96950</v>
      </c>
      <c r="R145" t="str">
        <f t="shared" si="90"/>
        <v>UNITED STATES OF AMERICA</v>
      </c>
      <c r="S145" t="str">
        <f>""</f>
        <v/>
      </c>
      <c r="T145" s="5" t="str">
        <f>"16702343926"</f>
        <v>16702343926</v>
      </c>
      <c r="U145" t="str">
        <f>"103"</f>
        <v>103</v>
      </c>
      <c r="V145" s="5" t="str">
        <f>""</f>
        <v/>
      </c>
      <c r="W145" t="str">
        <f>"nidlg78@gmail.com"</f>
        <v>nidlg78@gmail.com</v>
      </c>
      <c r="X145" t="str">
        <f>"MMC &amp; Pacific Labs. LLC"</f>
        <v>MMC &amp; Pacific Labs. LLC</v>
      </c>
      <c r="Y145" t="str">
        <f>""</f>
        <v/>
      </c>
      <c r="Z145" t="str">
        <f>"PMB 145 PO Box 10003"</f>
        <v>PMB 145 PO Box 10003</v>
      </c>
      <c r="AA145" t="str">
        <f>""</f>
        <v/>
      </c>
      <c r="AB145" t="str">
        <f>"Saipan"</f>
        <v>Saipan</v>
      </c>
      <c r="AC145" t="str">
        <f t="shared" si="91"/>
        <v>MP</v>
      </c>
      <c r="AD145" t="str">
        <f t="shared" si="109"/>
        <v>96950</v>
      </c>
      <c r="AE145" t="str">
        <f t="shared" si="92"/>
        <v>UNITED STATES OF AMERICA</v>
      </c>
      <c r="AF145" t="str">
        <f>""</f>
        <v/>
      </c>
      <c r="AG145" s="4" t="str">
        <f>"16702343926"</f>
        <v>16702343926</v>
      </c>
      <c r="AH145" t="str">
        <f>"103"</f>
        <v>103</v>
      </c>
      <c r="AI145" t="str">
        <f>"6215"</f>
        <v>6215</v>
      </c>
      <c r="AJ145" t="s">
        <v>79</v>
      </c>
      <c r="AK145" t="s">
        <v>79</v>
      </c>
      <c r="AL145" t="s">
        <v>80</v>
      </c>
      <c r="AM145" t="s">
        <v>79</v>
      </c>
      <c r="AP145" t="str">
        <f>"Nursing Assistant"</f>
        <v>Nursing Assistant</v>
      </c>
      <c r="AQ145" t="str">
        <f>"31-1131.00"</f>
        <v>31-1131.00</v>
      </c>
      <c r="AR145" t="str">
        <f>"Nursing Assistants"</f>
        <v>Nursing Assistants</v>
      </c>
      <c r="AS145" t="str">
        <f>"Head Nurse"</f>
        <v>Head Nurse</v>
      </c>
      <c r="AT145" t="s">
        <v>79</v>
      </c>
      <c r="AU145" t="str">
        <f>""</f>
        <v/>
      </c>
      <c r="AV145" t="str">
        <f>""</f>
        <v/>
      </c>
      <c r="AW145" t="s">
        <v>79</v>
      </c>
      <c r="AX145" t="str">
        <f>""</f>
        <v/>
      </c>
      <c r="AY145" t="s">
        <v>124</v>
      </c>
      <c r="BA145" t="s">
        <v>119</v>
      </c>
      <c r="BB145" t="s">
        <v>79</v>
      </c>
      <c r="BD145" t="s">
        <v>79</v>
      </c>
      <c r="BG145" t="s">
        <v>79</v>
      </c>
      <c r="BJ145" t="s">
        <v>1342</v>
      </c>
      <c r="BK145" t="str">
        <f>"JKR Building  Beach Road"</f>
        <v>JKR Building  Beach Road</v>
      </c>
      <c r="BL145" t="str">
        <f>"Garapan"</f>
        <v>Garapan</v>
      </c>
      <c r="BM145" t="str">
        <f>"Saipan"</f>
        <v>Saipan</v>
      </c>
      <c r="BO145" t="s">
        <v>83</v>
      </c>
      <c r="BP145" s="4" t="str">
        <f t="shared" si="110"/>
        <v>96950</v>
      </c>
      <c r="BQ145" t="s">
        <v>79</v>
      </c>
      <c r="BR145" t="str">
        <f>"31-9092.00"</f>
        <v>31-9092.00</v>
      </c>
      <c r="BS145" t="s">
        <v>1343</v>
      </c>
      <c r="BT145" s="3">
        <v>11.46</v>
      </c>
      <c r="BU145" t="s">
        <v>80</v>
      </c>
      <c r="BV145" t="s">
        <v>90</v>
      </c>
      <c r="BW145" t="s">
        <v>92</v>
      </c>
      <c r="BZ145" s="1">
        <v>45107</v>
      </c>
    </row>
    <row r="146" spans="1:78" ht="15" customHeight="1" x14ac:dyDescent="0.25">
      <c r="A146" t="s">
        <v>1344</v>
      </c>
      <c r="B146" t="s">
        <v>94</v>
      </c>
      <c r="C146" s="1">
        <v>44864</v>
      </c>
      <c r="D146" s="1">
        <v>44907</v>
      </c>
      <c r="H146" t="s">
        <v>78</v>
      </c>
      <c r="I146" t="str">
        <f>"JANG"</f>
        <v>JANG</v>
      </c>
      <c r="J146" t="str">
        <f>"DU"</f>
        <v>DU</v>
      </c>
      <c r="K146" t="str">
        <f>"YOUNG"</f>
        <v>YOUNG</v>
      </c>
      <c r="L146" t="str">
        <f>"PRESIDENT"</f>
        <v>PRESIDENT</v>
      </c>
      <c r="M146" t="str">
        <f>"P O BOX 506275"</f>
        <v>P O BOX 506275</v>
      </c>
      <c r="N146" t="str">
        <f>"CHALAN KIYA DRIVE, CHALAN KIYA VILLAGE"</f>
        <v>CHALAN KIYA DRIVE, CHALAN KIYA VILLAGE</v>
      </c>
      <c r="O146" t="str">
        <f>"SAIPAN"</f>
        <v>SAIPAN</v>
      </c>
      <c r="P146" t="str">
        <f t="shared" si="111"/>
        <v>MP</v>
      </c>
      <c r="Q146" s="4" t="str">
        <f t="shared" si="108"/>
        <v>96950</v>
      </c>
      <c r="R146" t="str">
        <f t="shared" si="90"/>
        <v>UNITED STATES OF AMERICA</v>
      </c>
      <c r="S146" t="str">
        <f>""</f>
        <v/>
      </c>
      <c r="T146" s="5" t="str">
        <f>"16702359981"</f>
        <v>16702359981</v>
      </c>
      <c r="U146" t="str">
        <f>""</f>
        <v/>
      </c>
      <c r="V146" s="5" t="str">
        <f>""</f>
        <v/>
      </c>
      <c r="W146" t="str">
        <f>"ppr.reservation@gmail.com"</f>
        <v>ppr.reservation@gmail.com</v>
      </c>
      <c r="X146" t="str">
        <f>"BIGBANG ENTERTAINMENT, LLC."</f>
        <v>BIGBANG ENTERTAINMENT, LLC.</v>
      </c>
      <c r="Y146" t="str">
        <f>"BIGBANG ENTERTAINMENT, LLC."</f>
        <v>BIGBANG ENTERTAINMENT, LLC.</v>
      </c>
      <c r="Z146" t="str">
        <f>"P O BOX 506275"</f>
        <v>P O BOX 506275</v>
      </c>
      <c r="AA146" t="str">
        <f>"CHALAN KIYA DRIVE, CHALAN KIYA VILLAGE"</f>
        <v>CHALAN KIYA DRIVE, CHALAN KIYA VILLAGE</v>
      </c>
      <c r="AB146" t="str">
        <f>"SAIPAN"</f>
        <v>SAIPAN</v>
      </c>
      <c r="AC146" t="str">
        <f t="shared" si="91"/>
        <v>MP</v>
      </c>
      <c r="AD146" t="str">
        <f t="shared" si="109"/>
        <v>96950</v>
      </c>
      <c r="AE146" t="str">
        <f t="shared" si="92"/>
        <v>UNITED STATES OF AMERICA</v>
      </c>
      <c r="AF146" t="str">
        <f>""</f>
        <v/>
      </c>
      <c r="AG146" s="4" t="str">
        <f>"16702359981"</f>
        <v>16702359981</v>
      </c>
      <c r="AH146" t="str">
        <f>""</f>
        <v/>
      </c>
      <c r="AI146" t="str">
        <f>"56151"</f>
        <v>56151</v>
      </c>
      <c r="AJ146" t="s">
        <v>79</v>
      </c>
      <c r="AK146" t="s">
        <v>79</v>
      </c>
      <c r="AL146" t="s">
        <v>80</v>
      </c>
      <c r="AM146" t="s">
        <v>79</v>
      </c>
      <c r="AP146" t="str">
        <f>"MARKETING MANAGER"</f>
        <v>MARKETING MANAGER</v>
      </c>
      <c r="AQ146" t="str">
        <f>"11-2021.00"</f>
        <v>11-2021.00</v>
      </c>
      <c r="AR146" t="str">
        <f>"Marketing Managers"</f>
        <v>Marketing Managers</v>
      </c>
      <c r="AS146" t="str">
        <f>"GENERAL MANAGER"</f>
        <v>GENERAL MANAGER</v>
      </c>
      <c r="AT146" t="s">
        <v>82</v>
      </c>
      <c r="AU146" t="str">
        <f>"1"</f>
        <v>1</v>
      </c>
      <c r="AV146" t="str">
        <f>"Subordinate"</f>
        <v>Subordinate</v>
      </c>
      <c r="AW146" t="s">
        <v>79</v>
      </c>
      <c r="AX146" t="str">
        <f>""</f>
        <v/>
      </c>
      <c r="AY146" t="s">
        <v>81</v>
      </c>
      <c r="BA146" t="s">
        <v>80</v>
      </c>
      <c r="BB146" t="s">
        <v>79</v>
      </c>
      <c r="BD146" t="s">
        <v>79</v>
      </c>
      <c r="BG146" t="s">
        <v>82</v>
      </c>
      <c r="BH146">
        <v>24</v>
      </c>
      <c r="BI146" t="s">
        <v>1345</v>
      </c>
      <c r="BJ146" t="s">
        <v>1346</v>
      </c>
      <c r="BK146" t="str">
        <f>"P O BOX 506275"</f>
        <v>P O BOX 506275</v>
      </c>
      <c r="BL146" t="str">
        <f>"CHALAN KIYA DRIVE, CHALAN KIYA VILLAGE"</f>
        <v>CHALAN KIYA DRIVE, CHALAN KIYA VILLAGE</v>
      </c>
      <c r="BM146" t="str">
        <f>"SAIPAN"</f>
        <v>SAIPAN</v>
      </c>
      <c r="BO146" t="s">
        <v>83</v>
      </c>
      <c r="BP146" s="4" t="str">
        <f t="shared" si="110"/>
        <v>96950</v>
      </c>
      <c r="BQ146" t="s">
        <v>79</v>
      </c>
      <c r="BR146" t="str">
        <f>"11-2021.00"</f>
        <v>11-2021.00</v>
      </c>
      <c r="BS146" t="s">
        <v>1347</v>
      </c>
      <c r="BT146" s="3">
        <v>17.82</v>
      </c>
      <c r="BU146" t="s">
        <v>80</v>
      </c>
      <c r="BV146" t="s">
        <v>90</v>
      </c>
      <c r="BW146" t="s">
        <v>92</v>
      </c>
      <c r="BZ146" s="1">
        <v>45107</v>
      </c>
    </row>
    <row r="147" spans="1:78" ht="15" customHeight="1" x14ac:dyDescent="0.25">
      <c r="A147" t="s">
        <v>1274</v>
      </c>
      <c r="B147" t="s">
        <v>94</v>
      </c>
      <c r="C147" s="1">
        <v>44859</v>
      </c>
      <c r="D147" s="1">
        <v>44904</v>
      </c>
      <c r="H147" t="s">
        <v>78</v>
      </c>
      <c r="I147" t="str">
        <f>"Kim"</f>
        <v>Kim</v>
      </c>
      <c r="J147" t="str">
        <f>"Doyi"</f>
        <v>Doyi</v>
      </c>
      <c r="K147" t="str">
        <f>""</f>
        <v/>
      </c>
      <c r="L147" t="str">
        <f>"Corporate Secretary"</f>
        <v>Corporate Secretary</v>
      </c>
      <c r="M147" t="str">
        <f>"PMB 214 Box 100005"</f>
        <v>PMB 214 Box 100005</v>
      </c>
      <c r="N147" t="str">
        <f>""</f>
        <v/>
      </c>
      <c r="O147" t="str">
        <f>"Saipan"</f>
        <v>Saipan</v>
      </c>
      <c r="P147" t="str">
        <f t="shared" si="111"/>
        <v>MP</v>
      </c>
      <c r="Q147" s="4" t="str">
        <f t="shared" si="108"/>
        <v>96950</v>
      </c>
      <c r="R147" t="str">
        <f t="shared" si="90"/>
        <v>UNITED STATES OF AMERICA</v>
      </c>
      <c r="S147" t="str">
        <f>""</f>
        <v/>
      </c>
      <c r="T147" s="5" t="str">
        <f>"16702353313"</f>
        <v>16702353313</v>
      </c>
      <c r="U147" t="str">
        <f>""</f>
        <v/>
      </c>
      <c r="V147" s="5" t="str">
        <f>""</f>
        <v/>
      </c>
      <c r="W147" t="str">
        <f>"saipanwinnners5@gmail.com"</f>
        <v>saipanwinnners5@gmail.com</v>
      </c>
      <c r="X147" t="str">
        <f>"D.K.K. Inc."</f>
        <v>D.K.K. Inc.</v>
      </c>
      <c r="Y147" t="str">
        <f>"Dollars Poker, Moon Night Poker, DKK Construction"</f>
        <v>Dollars Poker, Moon Night Poker, DKK Construction</v>
      </c>
      <c r="Z147" t="str">
        <f>"PMB 214 Box 10005"</f>
        <v>PMB 214 Box 10005</v>
      </c>
      <c r="AA147" t="str">
        <f>""</f>
        <v/>
      </c>
      <c r="AB147" t="str">
        <f>"Saipan"</f>
        <v>Saipan</v>
      </c>
      <c r="AC147" t="str">
        <f t="shared" si="91"/>
        <v>MP</v>
      </c>
      <c r="AD147" t="str">
        <f t="shared" si="109"/>
        <v>96950</v>
      </c>
      <c r="AE147" t="str">
        <f t="shared" si="92"/>
        <v>UNITED STATES OF AMERICA</v>
      </c>
      <c r="AF147" t="str">
        <f>""</f>
        <v/>
      </c>
      <c r="AG147" s="4" t="str">
        <f>"16702353313"</f>
        <v>16702353313</v>
      </c>
      <c r="AH147" t="str">
        <f>""</f>
        <v/>
      </c>
      <c r="AI147" t="str">
        <f>"713290"</f>
        <v>713290</v>
      </c>
      <c r="AJ147" t="s">
        <v>79</v>
      </c>
      <c r="AK147" t="s">
        <v>79</v>
      </c>
      <c r="AL147" t="s">
        <v>80</v>
      </c>
      <c r="AM147" t="s">
        <v>79</v>
      </c>
      <c r="AP147" t="str">
        <f>"Gambling Service Worker"</f>
        <v>Gambling Service Worker</v>
      </c>
      <c r="AQ147" t="str">
        <f>"39-3019.00"</f>
        <v>39-3019.00</v>
      </c>
      <c r="AR147" t="str">
        <f>"Gambling Service Workers, All Other"</f>
        <v>Gambling Service Workers, All Other</v>
      </c>
      <c r="AS147" t="str">
        <f>"Operation Manager"</f>
        <v>Operation Manager</v>
      </c>
      <c r="AT147" t="s">
        <v>79</v>
      </c>
      <c r="AU147" t="str">
        <f>""</f>
        <v/>
      </c>
      <c r="AV147" t="str">
        <f>""</f>
        <v/>
      </c>
      <c r="AW147" t="s">
        <v>79</v>
      </c>
      <c r="AX147" t="str">
        <f>""</f>
        <v/>
      </c>
      <c r="AY147" t="s">
        <v>84</v>
      </c>
      <c r="BA147" t="s">
        <v>80</v>
      </c>
      <c r="BB147" t="s">
        <v>79</v>
      </c>
      <c r="BD147" t="s">
        <v>79</v>
      </c>
      <c r="BG147" t="s">
        <v>82</v>
      </c>
      <c r="BH147">
        <v>12</v>
      </c>
      <c r="BI147" t="s">
        <v>1275</v>
      </c>
      <c r="BJ147" t="s">
        <v>1276</v>
      </c>
      <c r="BK147" t="str">
        <f>"Rte 30 Beach Road"</f>
        <v>Rte 30 Beach Road</v>
      </c>
      <c r="BL147" t="str">
        <f>"Garapan"</f>
        <v>Garapan</v>
      </c>
      <c r="BM147" t="str">
        <f>"Saipan"</f>
        <v>Saipan</v>
      </c>
      <c r="BO147" t="s">
        <v>83</v>
      </c>
      <c r="BP147" s="4" t="str">
        <f t="shared" si="110"/>
        <v>96950</v>
      </c>
      <c r="BQ147" t="s">
        <v>82</v>
      </c>
      <c r="BR147" t="str">
        <f>"39-3019.00"</f>
        <v>39-3019.00</v>
      </c>
      <c r="BS147" t="s">
        <v>1277</v>
      </c>
      <c r="BT147" s="3">
        <v>7.59</v>
      </c>
      <c r="BU147" t="s">
        <v>80</v>
      </c>
      <c r="BV147" t="s">
        <v>90</v>
      </c>
      <c r="BW147" t="s">
        <v>92</v>
      </c>
      <c r="BZ147" s="1">
        <v>45107</v>
      </c>
    </row>
    <row r="148" spans="1:78" ht="15" customHeight="1" x14ac:dyDescent="0.25">
      <c r="A148" t="s">
        <v>1311</v>
      </c>
      <c r="B148" t="s">
        <v>94</v>
      </c>
      <c r="C148" s="1">
        <v>44862</v>
      </c>
      <c r="D148" s="1">
        <v>44903</v>
      </c>
      <c r="H148" t="s">
        <v>78</v>
      </c>
      <c r="I148" t="str">
        <f>"Beltran"</f>
        <v>Beltran</v>
      </c>
      <c r="J148" t="str">
        <f>"Maria"</f>
        <v>Maria</v>
      </c>
      <c r="K148" t="str">
        <f>"Butiong"</f>
        <v>Butiong</v>
      </c>
      <c r="L148" t="str">
        <f>"Accounting Manager"</f>
        <v>Accounting Manager</v>
      </c>
      <c r="M148" t="str">
        <f>"PMB 1020 PO Box 10000"</f>
        <v>PMB 1020 PO Box 10000</v>
      </c>
      <c r="N148" t="str">
        <f>"Kagman Rd RTE 34"</f>
        <v>Kagman Rd RTE 34</v>
      </c>
      <c r="O148" t="str">
        <f>"Saipan"</f>
        <v>Saipan</v>
      </c>
      <c r="P148" t="str">
        <f t="shared" si="111"/>
        <v>MP</v>
      </c>
      <c r="Q148" s="4" t="str">
        <f t="shared" si="108"/>
        <v>96950</v>
      </c>
      <c r="R148" t="str">
        <f t="shared" si="90"/>
        <v>UNITED STATES OF AMERICA</v>
      </c>
      <c r="S148" t="str">
        <f>"Kagman III"</f>
        <v>Kagman III</v>
      </c>
      <c r="T148" s="5" t="str">
        <f>"16702368874"</f>
        <v>16702368874</v>
      </c>
      <c r="U148" t="str">
        <f>""</f>
        <v/>
      </c>
      <c r="V148" s="5" t="str">
        <f>""</f>
        <v/>
      </c>
      <c r="W148" t="str">
        <f>"mbeltran@laolaobaygolf.com"</f>
        <v>mbeltran@laolaobaygolf.com</v>
      </c>
      <c r="X148" t="str">
        <f>"Saipan Laulau Development, Inc."</f>
        <v>Saipan Laulau Development, Inc.</v>
      </c>
      <c r="Y148" t="str">
        <f>"Laolao Bay Golf &amp; Resort"</f>
        <v>Laolao Bay Golf &amp; Resort</v>
      </c>
      <c r="Z148" t="str">
        <f>"PMB 1020 PO Box 10000"</f>
        <v>PMB 1020 PO Box 10000</v>
      </c>
      <c r="AA148" t="str">
        <f>"Kagman Rd RTE 34"</f>
        <v>Kagman Rd RTE 34</v>
      </c>
      <c r="AB148" t="str">
        <f>"Saipan"</f>
        <v>Saipan</v>
      </c>
      <c r="AC148" t="str">
        <f t="shared" si="91"/>
        <v>MP</v>
      </c>
      <c r="AD148" t="str">
        <f t="shared" si="109"/>
        <v>96950</v>
      </c>
      <c r="AE148" t="str">
        <f t="shared" si="92"/>
        <v>UNITED STATES OF AMERICA</v>
      </c>
      <c r="AF148" t="str">
        <f>"Kagman III"</f>
        <v>Kagman III</v>
      </c>
      <c r="AG148" s="4" t="str">
        <f>"16702368888"</f>
        <v>16702368888</v>
      </c>
      <c r="AH148" t="str">
        <f>""</f>
        <v/>
      </c>
      <c r="AI148" t="str">
        <f>"713910"</f>
        <v>713910</v>
      </c>
      <c r="AJ148" t="s">
        <v>79</v>
      </c>
      <c r="AK148" t="s">
        <v>79</v>
      </c>
      <c r="AL148" t="s">
        <v>80</v>
      </c>
      <c r="AM148" t="s">
        <v>79</v>
      </c>
      <c r="AP148" t="str">
        <f>"Computer Network Support Specialist"</f>
        <v>Computer Network Support Specialist</v>
      </c>
      <c r="AQ148" t="str">
        <f>"15-1231.00"</f>
        <v>15-1231.00</v>
      </c>
      <c r="AR148" t="str">
        <f>"Computer Network Support Specialists"</f>
        <v>Computer Network Support Specialists</v>
      </c>
      <c r="AS148" t="str">
        <f>"General Manager and CFO"</f>
        <v>General Manager and CFO</v>
      </c>
      <c r="AT148" t="s">
        <v>82</v>
      </c>
      <c r="AU148" t="str">
        <f>"1"</f>
        <v>1</v>
      </c>
      <c r="AV148" t="str">
        <f>"Subordinate"</f>
        <v>Subordinate</v>
      </c>
      <c r="AW148" t="s">
        <v>79</v>
      </c>
      <c r="AX148" t="str">
        <f>""</f>
        <v/>
      </c>
      <c r="AY148" t="s">
        <v>95</v>
      </c>
      <c r="BA148" t="s">
        <v>1312</v>
      </c>
      <c r="BB148" t="s">
        <v>79</v>
      </c>
      <c r="BD148" t="s">
        <v>79</v>
      </c>
      <c r="BG148" t="s">
        <v>82</v>
      </c>
      <c r="BH148">
        <v>24</v>
      </c>
      <c r="BI148" t="s">
        <v>1313</v>
      </c>
      <c r="BJ148" t="s">
        <v>1314</v>
      </c>
      <c r="BK148" t="str">
        <f>"Kagman Rd, Rte 34"</f>
        <v>Kagman Rd, Rte 34</v>
      </c>
      <c r="BL148" t="str">
        <f>"PMB 1020 PO Box 10000"</f>
        <v>PMB 1020 PO Box 10000</v>
      </c>
      <c r="BM148" t="str">
        <f>"Saipan"</f>
        <v>Saipan</v>
      </c>
      <c r="BO148" t="s">
        <v>83</v>
      </c>
      <c r="BP148" s="4" t="str">
        <f t="shared" si="110"/>
        <v>96950</v>
      </c>
      <c r="BQ148" t="s">
        <v>79</v>
      </c>
      <c r="BR148" t="str">
        <f>"15-1231.00"</f>
        <v>15-1231.00</v>
      </c>
      <c r="BS148" t="s">
        <v>1034</v>
      </c>
      <c r="BT148" s="3">
        <v>14.1</v>
      </c>
      <c r="BU148" t="s">
        <v>80</v>
      </c>
      <c r="BV148" t="s">
        <v>90</v>
      </c>
      <c r="BW148" t="s">
        <v>92</v>
      </c>
      <c r="BZ148" s="1">
        <v>45107</v>
      </c>
    </row>
    <row r="149" spans="1:78" ht="15" customHeight="1" x14ac:dyDescent="0.25">
      <c r="A149" t="s">
        <v>1302</v>
      </c>
      <c r="B149" t="s">
        <v>94</v>
      </c>
      <c r="C149" s="1">
        <v>44862</v>
      </c>
      <c r="D149" s="1">
        <v>44902</v>
      </c>
      <c r="H149" t="s">
        <v>78</v>
      </c>
      <c r="I149" t="str">
        <f>"Bocago"</f>
        <v>Bocago</v>
      </c>
      <c r="J149" t="str">
        <f>"Camille"</f>
        <v>Camille</v>
      </c>
      <c r="K149" t="str">
        <f>"Samonte"</f>
        <v>Samonte</v>
      </c>
      <c r="L149" t="str">
        <f>"Accountant"</f>
        <v>Accountant</v>
      </c>
      <c r="M149" t="str">
        <f>"6632 Chalan Pale Arnold"</f>
        <v>6632 Chalan Pale Arnold</v>
      </c>
      <c r="N149" t="str">
        <f>"P.O. Box 500800, Gualo Rai"</f>
        <v>P.O. Box 500800, Gualo Rai</v>
      </c>
      <c r="O149" t="str">
        <f>"Saipan"</f>
        <v>Saipan</v>
      </c>
      <c r="P149" t="str">
        <f t="shared" si="111"/>
        <v>MP</v>
      </c>
      <c r="Q149" s="4" t="str">
        <f t="shared" si="108"/>
        <v>96950</v>
      </c>
      <c r="R149" t="str">
        <f t="shared" si="90"/>
        <v>UNITED STATES OF AMERICA</v>
      </c>
      <c r="S149" t="str">
        <f>"N/A"</f>
        <v>N/A</v>
      </c>
      <c r="T149" s="5" t="str">
        <f>"16702346560"</f>
        <v>16702346560</v>
      </c>
      <c r="U149" t="str">
        <f>""</f>
        <v/>
      </c>
      <c r="V149" s="5" t="str">
        <f>""</f>
        <v/>
      </c>
      <c r="W149" t="str">
        <f>"chongs@pticom.com"</f>
        <v>chongs@pticom.com</v>
      </c>
      <c r="X149" t="str">
        <f>"Chong's Corporation"</f>
        <v>Chong's Corporation</v>
      </c>
      <c r="Y149" t="str">
        <f>""</f>
        <v/>
      </c>
      <c r="Z149" t="str">
        <f>"6632 Chalan Pale Arnold"</f>
        <v>6632 Chalan Pale Arnold</v>
      </c>
      <c r="AA149" t="str">
        <f>"P.O. Box 500800, Gualo Rai"</f>
        <v>P.O. Box 500800, Gualo Rai</v>
      </c>
      <c r="AB149" t="str">
        <f>"Saipan"</f>
        <v>Saipan</v>
      </c>
      <c r="AC149" t="str">
        <f t="shared" si="91"/>
        <v>MP</v>
      </c>
      <c r="AD149" t="str">
        <f t="shared" si="109"/>
        <v>96950</v>
      </c>
      <c r="AE149" t="str">
        <f t="shared" si="92"/>
        <v>UNITED STATES OF AMERICA</v>
      </c>
      <c r="AF149" t="str">
        <f>"N/A"</f>
        <v>N/A</v>
      </c>
      <c r="AG149" s="4" t="str">
        <f>"16702346560"</f>
        <v>16702346560</v>
      </c>
      <c r="AH149" t="str">
        <f>""</f>
        <v/>
      </c>
      <c r="AI149" t="str">
        <f>"238220"</f>
        <v>238220</v>
      </c>
      <c r="AJ149" t="s">
        <v>79</v>
      </c>
      <c r="AK149" t="s">
        <v>79</v>
      </c>
      <c r="AL149" t="s">
        <v>80</v>
      </c>
      <c r="AM149" t="s">
        <v>79</v>
      </c>
      <c r="AP149" t="str">
        <f>"Maintenance and Repair Worker"</f>
        <v>Maintenance and Repair Worker</v>
      </c>
      <c r="AQ149" t="str">
        <f>"49-9071.00"</f>
        <v>49-9071.00</v>
      </c>
      <c r="AR149" t="str">
        <f>"Maintenance and Repair Workers, General"</f>
        <v>Maintenance and Repair Workers, General</v>
      </c>
      <c r="AS149" t="str">
        <f>"Manager - Air-Conditioning &amp; Refrigeration"</f>
        <v>Manager - Air-Conditioning &amp; Refrigeration</v>
      </c>
      <c r="AT149" t="s">
        <v>79</v>
      </c>
      <c r="AU149" t="str">
        <f>""</f>
        <v/>
      </c>
      <c r="AV149" t="str">
        <f>""</f>
        <v/>
      </c>
      <c r="AW149" t="s">
        <v>82</v>
      </c>
      <c r="AX149" t="str">
        <f>"Work location is within CNMI (Saipan, Tinian and Rota), everyday to and from customer's location."</f>
        <v>Work location is within CNMI (Saipan, Tinian and Rota), everyday to and from customer's location.</v>
      </c>
      <c r="AY149" t="s">
        <v>84</v>
      </c>
      <c r="BA149" t="s">
        <v>80</v>
      </c>
      <c r="BB149" t="s">
        <v>79</v>
      </c>
      <c r="BD149" t="s">
        <v>79</v>
      </c>
      <c r="BG149" t="s">
        <v>82</v>
      </c>
      <c r="BH149">
        <v>24</v>
      </c>
      <c r="BI149" t="s">
        <v>344</v>
      </c>
      <c r="BJ149" t="s">
        <v>1303</v>
      </c>
      <c r="BK149" t="str">
        <f>"6632 Chalan Pale Arnold"</f>
        <v>6632 Chalan Pale Arnold</v>
      </c>
      <c r="BL149" t="str">
        <f>"P.O. Box 500800, Gualo Rai"</f>
        <v>P.O. Box 500800, Gualo Rai</v>
      </c>
      <c r="BM149" t="str">
        <f>"Saipan"</f>
        <v>Saipan</v>
      </c>
      <c r="BO149" t="s">
        <v>83</v>
      </c>
      <c r="BP149" s="4" t="str">
        <f t="shared" si="110"/>
        <v>96950</v>
      </c>
      <c r="BQ149" t="s">
        <v>82</v>
      </c>
      <c r="BR149" t="str">
        <f>"49-9071.00"</f>
        <v>49-9071.00</v>
      </c>
      <c r="BS149" t="s">
        <v>146</v>
      </c>
      <c r="BT149" s="3">
        <v>9.19</v>
      </c>
      <c r="BU149" t="s">
        <v>80</v>
      </c>
      <c r="BV149" t="s">
        <v>90</v>
      </c>
      <c r="BW149" t="s">
        <v>92</v>
      </c>
      <c r="BZ149" s="1">
        <v>45107</v>
      </c>
    </row>
    <row r="150" spans="1:78" ht="15" customHeight="1" x14ac:dyDescent="0.25">
      <c r="A150" t="s">
        <v>1304</v>
      </c>
      <c r="B150" t="s">
        <v>94</v>
      </c>
      <c r="C150" s="1">
        <v>44862</v>
      </c>
      <c r="D150" s="1">
        <v>44902</v>
      </c>
      <c r="H150" t="s">
        <v>78</v>
      </c>
      <c r="I150" t="str">
        <f>"ADA"</f>
        <v>ADA</v>
      </c>
      <c r="J150" t="str">
        <f>"FRANCISCO"</f>
        <v>FRANCISCO</v>
      </c>
      <c r="K150" t="str">
        <f>"SEMAN"</f>
        <v>SEMAN</v>
      </c>
      <c r="L150" t="str">
        <f>"DIRECTOR OF HUMAN RESOURCES"</f>
        <v>DIRECTOR OF HUMAN RESOURCES</v>
      </c>
      <c r="M150" t="str">
        <f>"BRIGIDA ST., BEACH ROAD"</f>
        <v>BRIGIDA ST., BEACH ROAD</v>
      </c>
      <c r="N150" t="str">
        <f>"CHALAN KANOA, P.O. BOX 500487"</f>
        <v>CHALAN KANOA, P.O. BOX 500487</v>
      </c>
      <c r="O150" t="str">
        <f>"SAIPAN"</f>
        <v>SAIPAN</v>
      </c>
      <c r="P150" t="str">
        <f t="shared" si="111"/>
        <v>MP</v>
      </c>
      <c r="Q150" s="4" t="str">
        <f t="shared" si="108"/>
        <v>96950</v>
      </c>
      <c r="R150" t="str">
        <f t="shared" si="90"/>
        <v>UNITED STATES OF AMERICA</v>
      </c>
      <c r="S150" t="str">
        <f>"MP"</f>
        <v>MP</v>
      </c>
      <c r="T150" s="5" t="str">
        <f>"16702341795"</f>
        <v>16702341795</v>
      </c>
      <c r="U150" t="str">
        <f>""</f>
        <v/>
      </c>
      <c r="V150" s="5" t="str">
        <f>""</f>
        <v/>
      </c>
      <c r="W150" t="str">
        <f>"hrtjsaipan@triplejsaipan.com"</f>
        <v>hrtjsaipan@triplejsaipan.com</v>
      </c>
      <c r="X150" t="str">
        <f>"TRIPLE J SAIPAN, INC."</f>
        <v>TRIPLE J SAIPAN, INC.</v>
      </c>
      <c r="Y150" t="str">
        <f>""</f>
        <v/>
      </c>
      <c r="Z150" t="str">
        <f>"BRIGIDA ST., BEACH ROAD"</f>
        <v>BRIGIDA ST., BEACH ROAD</v>
      </c>
      <c r="AA150" t="str">
        <f>"CHALAN KANOA, P.O. BOX 500487"</f>
        <v>CHALAN KANOA, P.O. BOX 500487</v>
      </c>
      <c r="AB150" t="str">
        <f>"SAIPAN"</f>
        <v>SAIPAN</v>
      </c>
      <c r="AC150" t="str">
        <f t="shared" si="91"/>
        <v>MP</v>
      </c>
      <c r="AD150" t="str">
        <f t="shared" si="109"/>
        <v>96950</v>
      </c>
      <c r="AE150" t="str">
        <f t="shared" si="92"/>
        <v>UNITED STATES OF AMERICA</v>
      </c>
      <c r="AF150" t="str">
        <f>"MP"</f>
        <v>MP</v>
      </c>
      <c r="AG150" s="4" t="str">
        <f>"16702341795"</f>
        <v>16702341795</v>
      </c>
      <c r="AH150" t="str">
        <f>""</f>
        <v/>
      </c>
      <c r="AI150" t="str">
        <f>"551114"</f>
        <v>551114</v>
      </c>
      <c r="AJ150" t="s">
        <v>79</v>
      </c>
      <c r="AK150" t="s">
        <v>79</v>
      </c>
      <c r="AL150" t="s">
        <v>80</v>
      </c>
      <c r="AM150" t="s">
        <v>79</v>
      </c>
      <c r="AP150" t="str">
        <f>"ACCOUNTING ASSOCIATE"</f>
        <v>ACCOUNTING ASSOCIATE</v>
      </c>
      <c r="AQ150" t="str">
        <f>"43-3031.00"</f>
        <v>43-3031.00</v>
      </c>
      <c r="AR150" t="str">
        <f>"Bookkeeping, Accounting, and Auditing Clerks"</f>
        <v>Bookkeeping, Accounting, and Auditing Clerks</v>
      </c>
      <c r="AS150" t="str">
        <f>"GENERAL MANAGER"</f>
        <v>GENERAL MANAGER</v>
      </c>
      <c r="AT150" t="s">
        <v>79</v>
      </c>
      <c r="AU150" t="str">
        <f>""</f>
        <v/>
      </c>
      <c r="AV150" t="str">
        <f>""</f>
        <v/>
      </c>
      <c r="AW150" t="s">
        <v>79</v>
      </c>
      <c r="AX150" t="str">
        <f>""</f>
        <v/>
      </c>
      <c r="AY150" t="s">
        <v>124</v>
      </c>
      <c r="BA150" t="s">
        <v>130</v>
      </c>
      <c r="BB150" t="s">
        <v>79</v>
      </c>
      <c r="BD150" t="s">
        <v>79</v>
      </c>
      <c r="BG150" t="s">
        <v>82</v>
      </c>
      <c r="BH150">
        <v>24</v>
      </c>
      <c r="BI150" t="s">
        <v>1305</v>
      </c>
      <c r="BJ150" t="s">
        <v>1306</v>
      </c>
      <c r="BK150" t="str">
        <f>"SAN JOSE VILLAGE "</f>
        <v xml:space="preserve">SAN JOSE VILLAGE </v>
      </c>
      <c r="BL150" t="str">
        <f>"P.O. BOX 520397"</f>
        <v>P.O. BOX 520397</v>
      </c>
      <c r="BM150" t="str">
        <f>"TINIAN"</f>
        <v>TINIAN</v>
      </c>
      <c r="BO150" t="s">
        <v>83</v>
      </c>
      <c r="BP150" s="4" t="str">
        <f>"96952"</f>
        <v>96952</v>
      </c>
      <c r="BQ150" t="s">
        <v>79</v>
      </c>
      <c r="BR150" t="str">
        <f>"43-3031.00"</f>
        <v>43-3031.00</v>
      </c>
      <c r="BS150" t="s">
        <v>142</v>
      </c>
      <c r="BT150" s="3">
        <v>11.21</v>
      </c>
      <c r="BU150" t="s">
        <v>80</v>
      </c>
      <c r="BV150" t="s">
        <v>90</v>
      </c>
      <c r="BW150" t="s">
        <v>92</v>
      </c>
      <c r="BZ150" s="1">
        <v>45107</v>
      </c>
    </row>
    <row r="151" spans="1:78" ht="15" customHeight="1" x14ac:dyDescent="0.25">
      <c r="A151" t="s">
        <v>1307</v>
      </c>
      <c r="B151" t="s">
        <v>94</v>
      </c>
      <c r="C151" s="1">
        <v>44862</v>
      </c>
      <c r="D151" s="1">
        <v>44902</v>
      </c>
      <c r="H151" t="s">
        <v>78</v>
      </c>
      <c r="I151" t="str">
        <f>"Torres "</f>
        <v xml:space="preserve">Torres </v>
      </c>
      <c r="J151" t="str">
        <f>"Vincent "</f>
        <v xml:space="preserve">Vincent </v>
      </c>
      <c r="K151" t="str">
        <f>"DLG"</f>
        <v>DLG</v>
      </c>
      <c r="L151" t="str">
        <f>"President"</f>
        <v>President</v>
      </c>
      <c r="M151" t="str">
        <f>"P.O. Box 501856"</f>
        <v>P.O. Box 501856</v>
      </c>
      <c r="N151" t="str">
        <f>""</f>
        <v/>
      </c>
      <c r="O151" t="str">
        <f>"Saipan"</f>
        <v>Saipan</v>
      </c>
      <c r="P151" t="str">
        <f t="shared" si="111"/>
        <v>MP</v>
      </c>
      <c r="Q151" s="4" t="str">
        <f t="shared" si="108"/>
        <v>96950</v>
      </c>
      <c r="R151" t="str">
        <f t="shared" si="90"/>
        <v>UNITED STATES OF AMERICA</v>
      </c>
      <c r="S151" t="str">
        <f>""</f>
        <v/>
      </c>
      <c r="T151" s="5" t="str">
        <f>"16702335504"</f>
        <v>16702335504</v>
      </c>
      <c r="U151" t="str">
        <f>""</f>
        <v/>
      </c>
      <c r="V151" s="5" t="str">
        <f>""</f>
        <v/>
      </c>
      <c r="W151" t="str">
        <f>"cnmi.manpower670@gmail.com"</f>
        <v>cnmi.manpower670@gmail.com</v>
      </c>
      <c r="X151" t="str">
        <f>"CNMI MANPOWER, LLC "</f>
        <v xml:space="preserve">CNMI MANPOWER, LLC </v>
      </c>
      <c r="Y151" t="str">
        <f>"P.O. BOX 501856"</f>
        <v>P.O. BOX 501856</v>
      </c>
      <c r="Z151" t="str">
        <f>"SAIPAN "</f>
        <v xml:space="preserve">SAIPAN </v>
      </c>
      <c r="AA151" t="str">
        <f>""</f>
        <v/>
      </c>
      <c r="AB151" t="str">
        <f>"Saipan"</f>
        <v>Saipan</v>
      </c>
      <c r="AC151" t="str">
        <f t="shared" si="91"/>
        <v>MP</v>
      </c>
      <c r="AD151" t="str">
        <f t="shared" si="109"/>
        <v>96950</v>
      </c>
      <c r="AE151" t="str">
        <f t="shared" si="92"/>
        <v>UNITED STATES OF AMERICA</v>
      </c>
      <c r="AF151" t="str">
        <f>""</f>
        <v/>
      </c>
      <c r="AG151" s="4" t="str">
        <f>"16702335504"</f>
        <v>16702335504</v>
      </c>
      <c r="AH151" t="str">
        <f>""</f>
        <v/>
      </c>
      <c r="AI151" t="str">
        <f>"561320"</f>
        <v>561320</v>
      </c>
      <c r="AJ151" t="s">
        <v>79</v>
      </c>
      <c r="AK151" t="s">
        <v>79</v>
      </c>
      <c r="AL151" t="s">
        <v>80</v>
      </c>
      <c r="AM151" t="s">
        <v>79</v>
      </c>
      <c r="AP151" t="str">
        <f>"Accounting Clerk"</f>
        <v>Accounting Clerk</v>
      </c>
      <c r="AQ151" t="str">
        <f>"43-3031.00"</f>
        <v>43-3031.00</v>
      </c>
      <c r="AR151" t="str">
        <f>"Bookkeeping, Accounting, and Auditing Clerks"</f>
        <v>Bookkeeping, Accounting, and Auditing Clerks</v>
      </c>
      <c r="AS151" t="str">
        <f>"Manager"</f>
        <v>Manager</v>
      </c>
      <c r="AT151" t="s">
        <v>79</v>
      </c>
      <c r="AU151" t="str">
        <f>""</f>
        <v/>
      </c>
      <c r="AV151" t="str">
        <f>""</f>
        <v/>
      </c>
      <c r="AW151" t="s">
        <v>79</v>
      </c>
      <c r="AX151" t="str">
        <f>""</f>
        <v/>
      </c>
      <c r="AY151" t="s">
        <v>124</v>
      </c>
      <c r="BA151" t="s">
        <v>1308</v>
      </c>
      <c r="BB151" t="s">
        <v>79</v>
      </c>
      <c r="BD151" t="s">
        <v>79</v>
      </c>
      <c r="BG151" t="s">
        <v>82</v>
      </c>
      <c r="BH151">
        <v>24</v>
      </c>
      <c r="BI151" t="s">
        <v>1309</v>
      </c>
      <c r="BJ151" s="2" t="s">
        <v>1310</v>
      </c>
      <c r="BK151" t="str">
        <f>"CORNER ROSA STREET"</f>
        <v>CORNER ROSA STREET</v>
      </c>
      <c r="BL151" t="str">
        <f>"GARAPAN"</f>
        <v>GARAPAN</v>
      </c>
      <c r="BM151" t="str">
        <f>"SAIPAN"</f>
        <v>SAIPAN</v>
      </c>
      <c r="BO151" t="s">
        <v>83</v>
      </c>
      <c r="BP151" s="4" t="str">
        <f t="shared" ref="BP151:BP182" si="112">"96950"</f>
        <v>96950</v>
      </c>
      <c r="BQ151" t="s">
        <v>79</v>
      </c>
      <c r="BR151" t="str">
        <f>"43-3031.00"</f>
        <v>43-3031.00</v>
      </c>
      <c r="BS151" t="s">
        <v>142</v>
      </c>
      <c r="BT151" s="3">
        <v>11.21</v>
      </c>
      <c r="BU151" t="s">
        <v>80</v>
      </c>
      <c r="BV151" t="s">
        <v>90</v>
      </c>
      <c r="BW151" t="s">
        <v>92</v>
      </c>
      <c r="BZ151" s="1">
        <v>45107</v>
      </c>
    </row>
    <row r="152" spans="1:78" ht="15" customHeight="1" x14ac:dyDescent="0.25">
      <c r="A152" t="s">
        <v>1318</v>
      </c>
      <c r="B152" t="s">
        <v>94</v>
      </c>
      <c r="C152" s="1">
        <v>44862</v>
      </c>
      <c r="D152" s="1">
        <v>44902</v>
      </c>
      <c r="H152" t="s">
        <v>78</v>
      </c>
      <c r="I152" t="str">
        <f>"Beltran"</f>
        <v>Beltran</v>
      </c>
      <c r="J152" t="str">
        <f>"Maria"</f>
        <v>Maria</v>
      </c>
      <c r="K152" t="str">
        <f>"Butiong"</f>
        <v>Butiong</v>
      </c>
      <c r="L152" t="str">
        <f>"Accounting Manager"</f>
        <v>Accounting Manager</v>
      </c>
      <c r="M152" t="str">
        <f>"PMB 1020 PO Box 10000"</f>
        <v>PMB 1020 PO Box 10000</v>
      </c>
      <c r="N152" t="str">
        <f>"Kagman Rd Rte 34"</f>
        <v>Kagman Rd Rte 34</v>
      </c>
      <c r="O152" t="str">
        <f>"Saipan"</f>
        <v>Saipan</v>
      </c>
      <c r="P152" t="str">
        <f t="shared" si="111"/>
        <v>MP</v>
      </c>
      <c r="Q152" s="4" t="str">
        <f t="shared" si="108"/>
        <v>96950</v>
      </c>
      <c r="R152" t="str">
        <f t="shared" si="90"/>
        <v>UNITED STATES OF AMERICA</v>
      </c>
      <c r="S152" t="str">
        <f>"Kagman III"</f>
        <v>Kagman III</v>
      </c>
      <c r="T152" s="5" t="str">
        <f>"16702368874"</f>
        <v>16702368874</v>
      </c>
      <c r="U152" t="str">
        <f>""</f>
        <v/>
      </c>
      <c r="V152" s="5" t="str">
        <f>""</f>
        <v/>
      </c>
      <c r="W152" t="str">
        <f>"mbeltran@laolaobaygolf.com"</f>
        <v>mbeltran@laolaobaygolf.com</v>
      </c>
      <c r="X152" t="str">
        <f>"Saipan Laulau Development, Inc."</f>
        <v>Saipan Laulau Development, Inc.</v>
      </c>
      <c r="Y152" t="str">
        <f>"Laolao Bay Golf &amp; Resort"</f>
        <v>Laolao Bay Golf &amp; Resort</v>
      </c>
      <c r="Z152" t="str">
        <f>"PMB 1020 PO Box 10000"</f>
        <v>PMB 1020 PO Box 10000</v>
      </c>
      <c r="AA152" t="str">
        <f>"Kagman Rd Rte 34"</f>
        <v>Kagman Rd Rte 34</v>
      </c>
      <c r="AB152" t="str">
        <f>"Saipan"</f>
        <v>Saipan</v>
      </c>
      <c r="AC152" t="str">
        <f t="shared" si="91"/>
        <v>MP</v>
      </c>
      <c r="AD152" t="str">
        <f t="shared" si="109"/>
        <v>96950</v>
      </c>
      <c r="AE152" t="str">
        <f t="shared" si="92"/>
        <v>UNITED STATES OF AMERICA</v>
      </c>
      <c r="AF152" t="str">
        <f>"Kagman III"</f>
        <v>Kagman III</v>
      </c>
      <c r="AG152" s="4" t="str">
        <f>"16702368888"</f>
        <v>16702368888</v>
      </c>
      <c r="AH152" t="str">
        <f>""</f>
        <v/>
      </c>
      <c r="AI152" t="str">
        <f>"713910"</f>
        <v>713910</v>
      </c>
      <c r="AJ152" t="s">
        <v>79</v>
      </c>
      <c r="AK152" t="s">
        <v>79</v>
      </c>
      <c r="AL152" t="s">
        <v>80</v>
      </c>
      <c r="AM152" t="s">
        <v>79</v>
      </c>
      <c r="AP152" t="str">
        <f>"Cook"</f>
        <v>Cook</v>
      </c>
      <c r="AQ152" t="str">
        <f>"35-2014.00"</f>
        <v>35-2014.00</v>
      </c>
      <c r="AR152" t="str">
        <f>"Cooks, Restaurant"</f>
        <v>Cooks, Restaurant</v>
      </c>
      <c r="AS152" t="str">
        <f>"Sous Chef"</f>
        <v>Sous Chef</v>
      </c>
      <c r="AT152" t="s">
        <v>79</v>
      </c>
      <c r="AU152" t="str">
        <f>""</f>
        <v/>
      </c>
      <c r="AV152" t="str">
        <f>""</f>
        <v/>
      </c>
      <c r="AW152" t="s">
        <v>79</v>
      </c>
      <c r="AX152" t="str">
        <f>""</f>
        <v/>
      </c>
      <c r="AY152" t="s">
        <v>84</v>
      </c>
      <c r="BA152" t="s">
        <v>80</v>
      </c>
      <c r="BB152" t="s">
        <v>79</v>
      </c>
      <c r="BD152" t="s">
        <v>79</v>
      </c>
      <c r="BG152" t="s">
        <v>82</v>
      </c>
      <c r="BH152">
        <v>12</v>
      </c>
      <c r="BI152" t="s">
        <v>1319</v>
      </c>
      <c r="BJ152" t="s">
        <v>1320</v>
      </c>
      <c r="BK152" t="str">
        <f>"Kagman Rd Rte 34"</f>
        <v>Kagman Rd Rte 34</v>
      </c>
      <c r="BL152" t="str">
        <f>"PMB 1020 PO Box 10000"</f>
        <v>PMB 1020 PO Box 10000</v>
      </c>
      <c r="BM152" t="str">
        <f>"Saipan"</f>
        <v>Saipan</v>
      </c>
      <c r="BO152" t="s">
        <v>83</v>
      </c>
      <c r="BP152" s="4" t="str">
        <f t="shared" si="112"/>
        <v>96950</v>
      </c>
      <c r="BQ152" t="s">
        <v>79</v>
      </c>
      <c r="BR152" t="str">
        <f>"35-2014.00"</f>
        <v>35-2014.00</v>
      </c>
      <c r="BS152" t="s">
        <v>117</v>
      </c>
      <c r="BT152" s="3">
        <v>8.5500000000000007</v>
      </c>
      <c r="BU152" t="s">
        <v>80</v>
      </c>
      <c r="BV152" t="s">
        <v>90</v>
      </c>
      <c r="BW152" t="s">
        <v>92</v>
      </c>
      <c r="BZ152" s="1">
        <v>45107</v>
      </c>
    </row>
    <row r="153" spans="1:78" ht="15" customHeight="1" x14ac:dyDescent="0.25">
      <c r="A153" t="s">
        <v>1321</v>
      </c>
      <c r="B153" t="s">
        <v>94</v>
      </c>
      <c r="C153" s="1">
        <v>44862</v>
      </c>
      <c r="D153" s="1">
        <v>44902</v>
      </c>
      <c r="H153" t="s">
        <v>78</v>
      </c>
      <c r="I153" t="str">
        <f>"NAVARRO"</f>
        <v>NAVARRO</v>
      </c>
      <c r="J153" t="str">
        <f>"MARY ANN"</f>
        <v>MARY ANN</v>
      </c>
      <c r="K153" t="str">
        <f>"MERCADO"</f>
        <v>MERCADO</v>
      </c>
      <c r="L153" t="str">
        <f>"AUTHORIZED REPRESENTATIVE"</f>
        <v>AUTHORIZED REPRESENTATIVE</v>
      </c>
      <c r="M153" t="str">
        <f>"TEXAS ROAD CHALAN KANOA"</f>
        <v>TEXAS ROAD CHALAN KANOA</v>
      </c>
      <c r="N153" t="str">
        <f>"PO BOX 503944"</f>
        <v>PO BOX 503944</v>
      </c>
      <c r="O153" t="str">
        <f>"SAIPAN"</f>
        <v>SAIPAN</v>
      </c>
      <c r="P153" t="str">
        <f t="shared" si="111"/>
        <v>MP</v>
      </c>
      <c r="Q153" s="4" t="str">
        <f t="shared" si="108"/>
        <v>96950</v>
      </c>
      <c r="R153" t="str">
        <f t="shared" si="90"/>
        <v>UNITED STATES OF AMERICA</v>
      </c>
      <c r="S153" t="str">
        <f>"N/A"</f>
        <v>N/A</v>
      </c>
      <c r="T153" s="5" t="str">
        <f>"16707836993"</f>
        <v>16707836993</v>
      </c>
      <c r="U153" t="str">
        <f>"0"</f>
        <v>0</v>
      </c>
      <c r="V153" s="5" t="str">
        <f>""</f>
        <v/>
      </c>
      <c r="W153" t="str">
        <f>"smj.saipan@gmail.com"</f>
        <v>smj.saipan@gmail.com</v>
      </c>
      <c r="X153" t="str">
        <f>"SMJ CORPORATION"</f>
        <v>SMJ CORPORATION</v>
      </c>
      <c r="Y153" t="str">
        <f>"MJ ROADSIDE VENDOR"</f>
        <v>MJ ROADSIDE VENDOR</v>
      </c>
      <c r="Z153" t="str">
        <f>"TEXAS ROAD CHALAN KANOA"</f>
        <v>TEXAS ROAD CHALAN KANOA</v>
      </c>
      <c r="AA153" t="str">
        <f>"PO BOX 503944"</f>
        <v>PO BOX 503944</v>
      </c>
      <c r="AB153" t="str">
        <f>"SAIPAN"</f>
        <v>SAIPAN</v>
      </c>
      <c r="AC153" t="str">
        <f t="shared" si="91"/>
        <v>MP</v>
      </c>
      <c r="AD153" t="str">
        <f t="shared" si="109"/>
        <v>96950</v>
      </c>
      <c r="AE153" t="str">
        <f t="shared" si="92"/>
        <v>UNITED STATES OF AMERICA</v>
      </c>
      <c r="AF153" t="str">
        <f>"N/A"</f>
        <v>N/A</v>
      </c>
      <c r="AG153" s="4" t="str">
        <f>"16707836993"</f>
        <v>16707836993</v>
      </c>
      <c r="AH153" t="str">
        <f>"0"</f>
        <v>0</v>
      </c>
      <c r="AI153" t="str">
        <f>"44522"</f>
        <v>44522</v>
      </c>
      <c r="AJ153" t="s">
        <v>79</v>
      </c>
      <c r="AK153" t="s">
        <v>79</v>
      </c>
      <c r="AL153" t="s">
        <v>80</v>
      </c>
      <c r="AM153" t="s">
        <v>79</v>
      </c>
      <c r="AP153" t="str">
        <f>"FISHERMAN"</f>
        <v>FISHERMAN</v>
      </c>
      <c r="AQ153" t="str">
        <f>""</f>
        <v/>
      </c>
      <c r="AR153" t="str">
        <f>""</f>
        <v/>
      </c>
      <c r="AS153" t="str">
        <f>"N/A"</f>
        <v>N/A</v>
      </c>
      <c r="AT153" t="s">
        <v>79</v>
      </c>
      <c r="AU153" t="str">
        <f>""</f>
        <v/>
      </c>
      <c r="AV153" t="str">
        <f>""</f>
        <v/>
      </c>
      <c r="AW153" t="s">
        <v>79</v>
      </c>
      <c r="AX153" t="str">
        <f>""</f>
        <v/>
      </c>
      <c r="AY153" t="s">
        <v>84</v>
      </c>
      <c r="BA153" t="s">
        <v>80</v>
      </c>
      <c r="BB153" t="s">
        <v>79</v>
      </c>
      <c r="BD153" t="s">
        <v>79</v>
      </c>
      <c r="BG153" t="s">
        <v>82</v>
      </c>
      <c r="BH153">
        <v>24</v>
      </c>
      <c r="BI153" t="s">
        <v>724</v>
      </c>
      <c r="BJ153" t="s">
        <v>1322</v>
      </c>
      <c r="BK153" t="str">
        <f>"TEXAS ROAD CHALAN KANOA"</f>
        <v>TEXAS ROAD CHALAN KANOA</v>
      </c>
      <c r="BL153" t="str">
        <f>"PO BOX 503944"</f>
        <v>PO BOX 503944</v>
      </c>
      <c r="BM153" t="str">
        <f>"SAIPAN"</f>
        <v>SAIPAN</v>
      </c>
      <c r="BO153" t="s">
        <v>83</v>
      </c>
      <c r="BP153" s="4" t="str">
        <f t="shared" si="112"/>
        <v>96950</v>
      </c>
      <c r="BQ153" t="s">
        <v>79</v>
      </c>
      <c r="BR153" t="str">
        <f>"45-3031.00"</f>
        <v>45-3031.00</v>
      </c>
      <c r="BS153" t="s">
        <v>726</v>
      </c>
      <c r="BT153" s="3">
        <v>17.18</v>
      </c>
      <c r="BU153" t="s">
        <v>80</v>
      </c>
      <c r="BV153" t="s">
        <v>90</v>
      </c>
      <c r="BW153" t="s">
        <v>464</v>
      </c>
      <c r="BZ153" s="1">
        <v>45107</v>
      </c>
    </row>
    <row r="154" spans="1:78" ht="15" customHeight="1" x14ac:dyDescent="0.25">
      <c r="A154" t="s">
        <v>1323</v>
      </c>
      <c r="B154" t="s">
        <v>94</v>
      </c>
      <c r="C154" s="1">
        <v>44862</v>
      </c>
      <c r="D154" s="1">
        <v>44902</v>
      </c>
      <c r="H154" t="s">
        <v>78</v>
      </c>
      <c r="I154" t="str">
        <f>"CATALUNA"</f>
        <v>CATALUNA</v>
      </c>
      <c r="J154" t="str">
        <f>"FREDDIE"</f>
        <v>FREDDIE</v>
      </c>
      <c r="K154" t="str">
        <f>"ZAMORA"</f>
        <v>ZAMORA</v>
      </c>
      <c r="L154" t="str">
        <f>"Landscaping and Groundskeeping Workers"</f>
        <v>Landscaping and Groundskeeping Workers</v>
      </c>
      <c r="M154" t="str">
        <f>"P.O. BOX 503984"</f>
        <v>P.O. BOX 503984</v>
      </c>
      <c r="N154" t="str">
        <f>""</f>
        <v/>
      </c>
      <c r="O154" t="str">
        <f>"SAIPAN"</f>
        <v>SAIPAN</v>
      </c>
      <c r="P154" t="str">
        <f t="shared" si="111"/>
        <v>MP</v>
      </c>
      <c r="Q154" s="4" t="str">
        <f t="shared" si="108"/>
        <v>96950</v>
      </c>
      <c r="R154" t="str">
        <f t="shared" si="90"/>
        <v>UNITED STATES OF AMERICA</v>
      </c>
      <c r="S154" t="str">
        <f>"N/A"</f>
        <v>N/A</v>
      </c>
      <c r="T154" s="5" t="str">
        <f>"16702336927"</f>
        <v>16702336927</v>
      </c>
      <c r="U154" t="str">
        <f>""</f>
        <v/>
      </c>
      <c r="V154" s="5" t="str">
        <f>""</f>
        <v/>
      </c>
      <c r="W154" t="str">
        <f>"cpacificcorp@gmail.com"</f>
        <v>cpacificcorp@gmail.com</v>
      </c>
      <c r="X154" t="str">
        <f>"C PACIFIC CORPORATION"</f>
        <v>C PACIFIC CORPORATION</v>
      </c>
      <c r="Y154" t="str">
        <f>"RELIANCE HELP SUPPLY"</f>
        <v>RELIANCE HELP SUPPLY</v>
      </c>
      <c r="Z154" t="str">
        <f>"P.O. BOX 503984"</f>
        <v>P.O. BOX 503984</v>
      </c>
      <c r="AA154" t="str">
        <f>""</f>
        <v/>
      </c>
      <c r="AB154" t="str">
        <f>"SAIPAN"</f>
        <v>SAIPAN</v>
      </c>
      <c r="AC154" t="str">
        <f t="shared" si="91"/>
        <v>MP</v>
      </c>
      <c r="AD154" t="str">
        <f t="shared" si="109"/>
        <v>96950</v>
      </c>
      <c r="AE154" t="str">
        <f t="shared" si="92"/>
        <v>UNITED STATES OF AMERICA</v>
      </c>
      <c r="AF154" t="str">
        <f>"N/A"</f>
        <v>N/A</v>
      </c>
      <c r="AG154" s="4" t="str">
        <f>"16702336927"</f>
        <v>16702336927</v>
      </c>
      <c r="AH154" t="str">
        <f>""</f>
        <v/>
      </c>
      <c r="AI154" t="str">
        <f>"561320"</f>
        <v>561320</v>
      </c>
      <c r="AJ154" t="s">
        <v>79</v>
      </c>
      <c r="AK154" t="s">
        <v>79</v>
      </c>
      <c r="AL154" t="s">
        <v>80</v>
      </c>
      <c r="AM154" t="s">
        <v>79</v>
      </c>
      <c r="AP154" t="str">
        <f>"Landscaping and Groundskeeping Workers"</f>
        <v>Landscaping and Groundskeeping Workers</v>
      </c>
      <c r="AQ154" t="str">
        <f>"37-3011.00"</f>
        <v>37-3011.00</v>
      </c>
      <c r="AR154" t="str">
        <f>"Landscaping and Groundskeeping Workers"</f>
        <v>Landscaping and Groundskeeping Workers</v>
      </c>
      <c r="AS154" t="str">
        <f>""</f>
        <v/>
      </c>
      <c r="AT154" t="s">
        <v>79</v>
      </c>
      <c r="AU154" t="str">
        <f>""</f>
        <v/>
      </c>
      <c r="AV154" t="str">
        <f>""</f>
        <v/>
      </c>
      <c r="AW154" t="s">
        <v>79</v>
      </c>
      <c r="AX154" t="str">
        <f>""</f>
        <v/>
      </c>
      <c r="AY154" t="s">
        <v>84</v>
      </c>
      <c r="BA154" t="s">
        <v>80</v>
      </c>
      <c r="BB154" t="s">
        <v>79</v>
      </c>
      <c r="BD154" t="s">
        <v>79</v>
      </c>
      <c r="BG154" t="s">
        <v>82</v>
      </c>
      <c r="BH154">
        <v>3</v>
      </c>
      <c r="BI154" t="s">
        <v>122</v>
      </c>
      <c r="BJ154" t="s">
        <v>1324</v>
      </c>
      <c r="BK154" t="str">
        <f>"Beach Road San Antonio"</f>
        <v>Beach Road San Antonio</v>
      </c>
      <c r="BL154" t="str">
        <f>""</f>
        <v/>
      </c>
      <c r="BM154" t="str">
        <f>"Saipan"</f>
        <v>Saipan</v>
      </c>
      <c r="BO154" t="s">
        <v>83</v>
      </c>
      <c r="BP154" s="4" t="str">
        <f t="shared" si="112"/>
        <v>96950</v>
      </c>
      <c r="BQ154" t="s">
        <v>79</v>
      </c>
      <c r="BR154" t="str">
        <f>"37-3011.00"</f>
        <v>37-3011.00</v>
      </c>
      <c r="BS154" t="s">
        <v>122</v>
      </c>
      <c r="BT154" s="3">
        <v>8.1300000000000008</v>
      </c>
      <c r="BU154" t="s">
        <v>80</v>
      </c>
      <c r="BV154" t="s">
        <v>90</v>
      </c>
      <c r="BW154" t="s">
        <v>92</v>
      </c>
      <c r="BZ154" s="1">
        <v>45107</v>
      </c>
    </row>
    <row r="155" spans="1:78" ht="15" customHeight="1" x14ac:dyDescent="0.25">
      <c r="A155" t="s">
        <v>1325</v>
      </c>
      <c r="B155" t="s">
        <v>94</v>
      </c>
      <c r="C155" s="1">
        <v>44862</v>
      </c>
      <c r="D155" s="1">
        <v>44902</v>
      </c>
      <c r="H155" t="s">
        <v>78</v>
      </c>
      <c r="I155" t="str">
        <f>"He"</f>
        <v>He</v>
      </c>
      <c r="J155" t="str">
        <f>"Jianchu"</f>
        <v>Jianchu</v>
      </c>
      <c r="K155" t="str">
        <f>"N/A"</f>
        <v>N/A</v>
      </c>
      <c r="L155" t="str">
        <f>"Acting Office Representative"</f>
        <v>Acting Office Representative</v>
      </c>
      <c r="M155" t="str">
        <f>"Guangdong Building, Msgr. Martinez Road"</f>
        <v>Guangdong Building, Msgr. Martinez Road</v>
      </c>
      <c r="N155" t="str">
        <f>"P.O. BOX 501640, As Lito Village"</f>
        <v>P.O. BOX 501640, As Lito Village</v>
      </c>
      <c r="O155" t="str">
        <f>"Saipan"</f>
        <v>Saipan</v>
      </c>
      <c r="P155" t="str">
        <f t="shared" si="111"/>
        <v>MP</v>
      </c>
      <c r="Q155" s="4" t="str">
        <f t="shared" si="108"/>
        <v>96950</v>
      </c>
      <c r="R155" t="str">
        <f t="shared" si="90"/>
        <v>UNITED STATES OF AMERICA</v>
      </c>
      <c r="S155" t="str">
        <f>"Northern Mariana Islands"</f>
        <v>Northern Mariana Islands</v>
      </c>
      <c r="T155" s="5" t="str">
        <f>"16702882288"</f>
        <v>16702882288</v>
      </c>
      <c r="U155" t="str">
        <f>"126"</f>
        <v>126</v>
      </c>
      <c r="V155" s="5" t="str">
        <f>""</f>
        <v/>
      </c>
      <c r="W155" t="str">
        <f>"guangdong_hardware@163.com"</f>
        <v>guangdong_hardware@163.com</v>
      </c>
      <c r="X155" t="str">
        <f>"GUANGDONG DEVELOPMENT CO LTD"</f>
        <v>GUANGDONG DEVELOPMENT CO LTD</v>
      </c>
      <c r="Y155" t="str">
        <f>"GUANGDONG HARDWARE"</f>
        <v>GUANGDONG HARDWARE</v>
      </c>
      <c r="Z155" t="str">
        <f>"Guangdong Building, Msgr. Martinez Road"</f>
        <v>Guangdong Building, Msgr. Martinez Road</v>
      </c>
      <c r="AA155" t="str">
        <f>"P.O. BOX 501640, As Lito Village"</f>
        <v>P.O. BOX 501640, As Lito Village</v>
      </c>
      <c r="AB155" t="str">
        <f>"Saipan"</f>
        <v>Saipan</v>
      </c>
      <c r="AC155" t="str">
        <f t="shared" si="91"/>
        <v>MP</v>
      </c>
      <c r="AD155" t="str">
        <f t="shared" si="109"/>
        <v>96950</v>
      </c>
      <c r="AE155" t="str">
        <f t="shared" si="92"/>
        <v>UNITED STATES OF AMERICA</v>
      </c>
      <c r="AF155" t="str">
        <f>"Northern Mariana Islands"</f>
        <v>Northern Mariana Islands</v>
      </c>
      <c r="AG155" s="4" t="str">
        <f>"16702882288"</f>
        <v>16702882288</v>
      </c>
      <c r="AH155" t="str">
        <f>"126"</f>
        <v>126</v>
      </c>
      <c r="AI155" t="str">
        <f>"44413"</f>
        <v>44413</v>
      </c>
      <c r="AJ155" t="s">
        <v>79</v>
      </c>
      <c r="AK155" t="s">
        <v>79</v>
      </c>
      <c r="AL155" t="s">
        <v>80</v>
      </c>
      <c r="AM155" t="s">
        <v>79</v>
      </c>
      <c r="AP155" t="str">
        <f>"Material Coordinator"</f>
        <v>Material Coordinator</v>
      </c>
      <c r="AQ155" t="str">
        <f>"53-7065.00"</f>
        <v>53-7065.00</v>
      </c>
      <c r="AR155" t="str">
        <f>"Stockers and Order Fillers"</f>
        <v>Stockers and Order Fillers</v>
      </c>
      <c r="AS155" t="str">
        <f>"Manager"</f>
        <v>Manager</v>
      </c>
      <c r="AT155" t="s">
        <v>79</v>
      </c>
      <c r="AU155" t="str">
        <f>""</f>
        <v/>
      </c>
      <c r="AV155" t="str">
        <f>""</f>
        <v/>
      </c>
      <c r="AW155" t="s">
        <v>79</v>
      </c>
      <c r="AX155" t="str">
        <f>""</f>
        <v/>
      </c>
      <c r="AY155" t="s">
        <v>84</v>
      </c>
      <c r="BA155" t="s">
        <v>80</v>
      </c>
      <c r="BB155" t="s">
        <v>79</v>
      </c>
      <c r="BD155" t="s">
        <v>79</v>
      </c>
      <c r="BG155" t="s">
        <v>82</v>
      </c>
      <c r="BH155">
        <v>12</v>
      </c>
      <c r="BI155" t="s">
        <v>1326</v>
      </c>
      <c r="BJ155" t="s">
        <v>1327</v>
      </c>
      <c r="BK155" t="str">
        <f>"Guangdong Building, Msgr. Martinez Road"</f>
        <v>Guangdong Building, Msgr. Martinez Road</v>
      </c>
      <c r="BL155" t="str">
        <f>"P.O. BOX 501640, As Lito Village"</f>
        <v>P.O. BOX 501640, As Lito Village</v>
      </c>
      <c r="BM155" t="str">
        <f>"Saipan"</f>
        <v>Saipan</v>
      </c>
      <c r="BO155" t="s">
        <v>83</v>
      </c>
      <c r="BP155" s="4" t="str">
        <f t="shared" si="112"/>
        <v>96950</v>
      </c>
      <c r="BQ155" t="s">
        <v>79</v>
      </c>
      <c r="BR155" t="str">
        <f>"53-7065.00"</f>
        <v>53-7065.00</v>
      </c>
      <c r="BS155" t="s">
        <v>342</v>
      </c>
      <c r="BT155" s="3">
        <v>7.97</v>
      </c>
      <c r="BU155" t="s">
        <v>80</v>
      </c>
      <c r="BV155" t="s">
        <v>90</v>
      </c>
      <c r="BW155" t="s">
        <v>92</v>
      </c>
      <c r="BZ155" s="1">
        <v>45107</v>
      </c>
    </row>
    <row r="156" spans="1:78" ht="15" customHeight="1" x14ac:dyDescent="0.25">
      <c r="A156" t="s">
        <v>1293</v>
      </c>
      <c r="B156" t="s">
        <v>94</v>
      </c>
      <c r="C156" s="1">
        <v>44861</v>
      </c>
      <c r="D156" s="1">
        <v>44902</v>
      </c>
      <c r="H156" t="s">
        <v>78</v>
      </c>
      <c r="I156" t="str">
        <f>"ADA"</f>
        <v>ADA</v>
      </c>
      <c r="J156" t="str">
        <f>"FRANCISCO"</f>
        <v>FRANCISCO</v>
      </c>
      <c r="K156" t="str">
        <f>"SEMAN"</f>
        <v>SEMAN</v>
      </c>
      <c r="L156" t="str">
        <f>"FIRST LINE SUPERVISOR"</f>
        <v>FIRST LINE SUPERVISOR</v>
      </c>
      <c r="M156" t="str">
        <f>"BRIGIDA ST., BEACH ROAD"</f>
        <v>BRIGIDA ST., BEACH ROAD</v>
      </c>
      <c r="N156" t="str">
        <f>"CHALAN KANOA, P.O. BOX 500487"</f>
        <v>CHALAN KANOA, P.O. BOX 500487</v>
      </c>
      <c r="O156" t="str">
        <f>"SAIPAN"</f>
        <v>SAIPAN</v>
      </c>
      <c r="P156" t="str">
        <f t="shared" si="111"/>
        <v>MP</v>
      </c>
      <c r="Q156" s="4" t="str">
        <f t="shared" si="108"/>
        <v>96950</v>
      </c>
      <c r="R156" t="str">
        <f t="shared" si="90"/>
        <v>UNITED STATES OF AMERICA</v>
      </c>
      <c r="S156" t="str">
        <f>"MP"</f>
        <v>MP</v>
      </c>
      <c r="T156" s="5" t="str">
        <f>"16702341795"</f>
        <v>16702341795</v>
      </c>
      <c r="U156" t="str">
        <f>""</f>
        <v/>
      </c>
      <c r="V156" s="5" t="str">
        <f>""</f>
        <v/>
      </c>
      <c r="W156" t="str">
        <f>"hrtjsaipan@triplejsaipan.com"</f>
        <v>hrtjsaipan@triplejsaipan.com</v>
      </c>
      <c r="X156" t="str">
        <f>"TRIPLE J SAIPAN, INC."</f>
        <v>TRIPLE J SAIPAN, INC.</v>
      </c>
      <c r="Y156" t="str">
        <f>""</f>
        <v/>
      </c>
      <c r="Z156" t="str">
        <f>"BRIGIDA ST., BEACH ROAD"</f>
        <v>BRIGIDA ST., BEACH ROAD</v>
      </c>
      <c r="AA156" t="str">
        <f>"CHALAN KANOA, P.O. BOX 500487"</f>
        <v>CHALAN KANOA, P.O. BOX 500487</v>
      </c>
      <c r="AB156" t="str">
        <f>"SAIPAN"</f>
        <v>SAIPAN</v>
      </c>
      <c r="AC156" t="str">
        <f t="shared" si="91"/>
        <v>MP</v>
      </c>
      <c r="AD156" t="str">
        <f t="shared" si="109"/>
        <v>96950</v>
      </c>
      <c r="AE156" t="str">
        <f t="shared" si="92"/>
        <v>UNITED STATES OF AMERICA</v>
      </c>
      <c r="AF156" t="str">
        <f>"MP"</f>
        <v>MP</v>
      </c>
      <c r="AG156" s="4" t="str">
        <f>"16702341795"</f>
        <v>16702341795</v>
      </c>
      <c r="AH156" t="str">
        <f>""</f>
        <v/>
      </c>
      <c r="AI156" t="str">
        <f>"722511"</f>
        <v>722511</v>
      </c>
      <c r="AJ156" t="s">
        <v>79</v>
      </c>
      <c r="AK156" t="s">
        <v>79</v>
      </c>
      <c r="AL156" t="s">
        <v>80</v>
      </c>
      <c r="AM156" t="s">
        <v>79</v>
      </c>
      <c r="AP156" t="str">
        <f>"FIRST LINE SUPERVISOR"</f>
        <v>FIRST LINE SUPERVISOR</v>
      </c>
      <c r="AQ156" t="str">
        <f>"35-1012.00"</f>
        <v>35-1012.00</v>
      </c>
      <c r="AR156" t="str">
        <f>"First-Line Supervisors of Food Preparation and Serving Workers"</f>
        <v>First-Line Supervisors of Food Preparation and Serving Workers</v>
      </c>
      <c r="AS156" t="str">
        <f>"GENERAL MANAGER"</f>
        <v>GENERAL MANAGER</v>
      </c>
      <c r="AT156" t="s">
        <v>82</v>
      </c>
      <c r="AU156" t="str">
        <f>"10"</f>
        <v>10</v>
      </c>
      <c r="AV156" t="str">
        <f>"Subordinate"</f>
        <v>Subordinate</v>
      </c>
      <c r="AW156" t="s">
        <v>79</v>
      </c>
      <c r="AX156" t="str">
        <f>""</f>
        <v/>
      </c>
      <c r="AY156" t="s">
        <v>84</v>
      </c>
      <c r="BA156" t="s">
        <v>80</v>
      </c>
      <c r="BB156" t="s">
        <v>79</v>
      </c>
      <c r="BD156" t="s">
        <v>79</v>
      </c>
      <c r="BG156" t="s">
        <v>82</v>
      </c>
      <c r="BH156">
        <v>12</v>
      </c>
      <c r="BI156" t="s">
        <v>1294</v>
      </c>
      <c r="BJ156" t="s">
        <v>1295</v>
      </c>
      <c r="BK156" t="str">
        <f>"SAN ISIDRO, BEACH ROAD"</f>
        <v>SAN ISIDRO, BEACH ROAD</v>
      </c>
      <c r="BL156" t="str">
        <f>"CHALAN KANOA, P.O. BOX 500487"</f>
        <v>CHALAN KANOA, P.O. BOX 500487</v>
      </c>
      <c r="BM156" t="str">
        <f>"SAIPAN"</f>
        <v>SAIPAN</v>
      </c>
      <c r="BO156" t="s">
        <v>83</v>
      </c>
      <c r="BP156" s="4" t="str">
        <f t="shared" si="112"/>
        <v>96950</v>
      </c>
      <c r="BQ156" t="s">
        <v>79</v>
      </c>
      <c r="BR156" t="str">
        <f>"35-1012.00"</f>
        <v>35-1012.00</v>
      </c>
      <c r="BS156" t="s">
        <v>694</v>
      </c>
      <c r="BT156" s="3">
        <v>9.75</v>
      </c>
      <c r="BU156" t="s">
        <v>80</v>
      </c>
      <c r="BV156" t="s">
        <v>90</v>
      </c>
      <c r="BW156" t="s">
        <v>92</v>
      </c>
      <c r="BZ156" s="1">
        <v>45107</v>
      </c>
    </row>
    <row r="157" spans="1:78" ht="15" customHeight="1" x14ac:dyDescent="0.25">
      <c r="A157" t="s">
        <v>1296</v>
      </c>
      <c r="B157" t="s">
        <v>94</v>
      </c>
      <c r="C157" s="1">
        <v>44861</v>
      </c>
      <c r="D157" s="1">
        <v>44902</v>
      </c>
      <c r="H157" t="s">
        <v>78</v>
      </c>
      <c r="I157" t="str">
        <f>"ADA"</f>
        <v>ADA</v>
      </c>
      <c r="J157" t="str">
        <f>"FRANCISCO"</f>
        <v>FRANCISCO</v>
      </c>
      <c r="K157" t="str">
        <f>"SEMAN"</f>
        <v>SEMAN</v>
      </c>
      <c r="L157" t="str">
        <f>"DIRECTOR OF HUMAN RESOURCES"</f>
        <v>DIRECTOR OF HUMAN RESOURCES</v>
      </c>
      <c r="M157" t="str">
        <f>"BRIGIDA ST., BEACH ROAD"</f>
        <v>BRIGIDA ST., BEACH ROAD</v>
      </c>
      <c r="N157" t="str">
        <f>"CHALAN KANOA, P.O. BOX 500487"</f>
        <v>CHALAN KANOA, P.O. BOX 500487</v>
      </c>
      <c r="O157" t="str">
        <f>"SAIPAN"</f>
        <v>SAIPAN</v>
      </c>
      <c r="P157" t="str">
        <f t="shared" si="111"/>
        <v>MP</v>
      </c>
      <c r="Q157" s="4" t="str">
        <f t="shared" si="108"/>
        <v>96950</v>
      </c>
      <c r="R157" t="str">
        <f t="shared" si="90"/>
        <v>UNITED STATES OF AMERICA</v>
      </c>
      <c r="S157" t="str">
        <f>"MP"</f>
        <v>MP</v>
      </c>
      <c r="T157" s="5" t="str">
        <f>"16702341795"</f>
        <v>16702341795</v>
      </c>
      <c r="U157" t="str">
        <f>""</f>
        <v/>
      </c>
      <c r="V157" s="5" t="str">
        <f>""</f>
        <v/>
      </c>
      <c r="W157" t="str">
        <f>"hrtjsaipan@triplejsaipan.com"</f>
        <v>hrtjsaipan@triplejsaipan.com</v>
      </c>
      <c r="X157" t="str">
        <f>"TRIPLE J SAIPAN, INC."</f>
        <v>TRIPLE J SAIPAN, INC.</v>
      </c>
      <c r="Y157" t="str">
        <f>""</f>
        <v/>
      </c>
      <c r="Z157" t="str">
        <f>"BRIGIDA ST., BEACH ROAD"</f>
        <v>BRIGIDA ST., BEACH ROAD</v>
      </c>
      <c r="AA157" t="str">
        <f>"CHALAN KANOA"</f>
        <v>CHALAN KANOA</v>
      </c>
      <c r="AB157" t="str">
        <f>"SAIPAN "</f>
        <v xml:space="preserve">SAIPAN </v>
      </c>
      <c r="AC157" t="str">
        <f t="shared" si="91"/>
        <v>MP</v>
      </c>
      <c r="AD157" t="str">
        <f t="shared" si="109"/>
        <v>96950</v>
      </c>
      <c r="AE157" t="str">
        <f t="shared" si="92"/>
        <v>UNITED STATES OF AMERICA</v>
      </c>
      <c r="AF157" t="str">
        <f>"MP"</f>
        <v>MP</v>
      </c>
      <c r="AG157" s="4" t="str">
        <f>"16702341795"</f>
        <v>16702341795</v>
      </c>
      <c r="AH157" t="str">
        <f>""</f>
        <v/>
      </c>
      <c r="AI157" t="str">
        <f>"441110"</f>
        <v>441110</v>
      </c>
      <c r="AJ157" t="s">
        <v>79</v>
      </c>
      <c r="AK157" t="s">
        <v>79</v>
      </c>
      <c r="AL157" t="s">
        <v>80</v>
      </c>
      <c r="AM157" t="s">
        <v>79</v>
      </c>
      <c r="AP157" t="str">
        <f>"TIRE TECHNICIAN"</f>
        <v>TIRE TECHNICIAN</v>
      </c>
      <c r="AQ157" t="str">
        <f>"49-3093.00"</f>
        <v>49-3093.00</v>
      </c>
      <c r="AR157" t="str">
        <f>"Tire Repairers and Changers"</f>
        <v>Tire Repairers and Changers</v>
      </c>
      <c r="AS157" t="str">
        <f>"GENERAL MANAGER"</f>
        <v>GENERAL MANAGER</v>
      </c>
      <c r="AT157" t="s">
        <v>79</v>
      </c>
      <c r="AU157" t="str">
        <f>""</f>
        <v/>
      </c>
      <c r="AV157" t="str">
        <f>""</f>
        <v/>
      </c>
      <c r="AW157" t="s">
        <v>79</v>
      </c>
      <c r="AX157" t="str">
        <f>""</f>
        <v/>
      </c>
      <c r="AY157" t="s">
        <v>84</v>
      </c>
      <c r="BA157" t="s">
        <v>80</v>
      </c>
      <c r="BB157" t="s">
        <v>79</v>
      </c>
      <c r="BD157" t="s">
        <v>79</v>
      </c>
      <c r="BG157" t="s">
        <v>82</v>
      </c>
      <c r="BH157">
        <v>12</v>
      </c>
      <c r="BI157" t="s">
        <v>1297</v>
      </c>
      <c r="BJ157" s="2" t="s">
        <v>1298</v>
      </c>
      <c r="BK157" t="str">
        <f>"PAGU AV., RT. 314 LOWER BASE"</f>
        <v>PAGU AV., RT. 314 LOWER BASE</v>
      </c>
      <c r="BL157" t="str">
        <f>""</f>
        <v/>
      </c>
      <c r="BM157" t="str">
        <f>"SAIPAN"</f>
        <v>SAIPAN</v>
      </c>
      <c r="BO157" t="s">
        <v>83</v>
      </c>
      <c r="BP157" s="4" t="str">
        <f t="shared" si="112"/>
        <v>96950</v>
      </c>
      <c r="BQ157" t="s">
        <v>79</v>
      </c>
      <c r="BR157" t="str">
        <f>"49-3093.00"</f>
        <v>49-3093.00</v>
      </c>
      <c r="BS157" t="s">
        <v>1299</v>
      </c>
      <c r="BT157" s="3">
        <v>10.85</v>
      </c>
      <c r="BU157" t="s">
        <v>80</v>
      </c>
      <c r="BV157" t="s">
        <v>90</v>
      </c>
      <c r="BW157" t="s">
        <v>92</v>
      </c>
      <c r="BZ157" s="1">
        <v>45107</v>
      </c>
    </row>
    <row r="158" spans="1:78" ht="15" customHeight="1" x14ac:dyDescent="0.25">
      <c r="A158" t="s">
        <v>1300</v>
      </c>
      <c r="B158" t="s">
        <v>94</v>
      </c>
      <c r="C158" s="1">
        <v>44861</v>
      </c>
      <c r="D158" s="1">
        <v>44902</v>
      </c>
      <c r="H158" t="s">
        <v>78</v>
      </c>
      <c r="I158" t="str">
        <f>"VILLACRUSIS "</f>
        <v xml:space="preserve">VILLACRUSIS </v>
      </c>
      <c r="J158" t="str">
        <f>"RUEL "</f>
        <v xml:space="preserve">RUEL </v>
      </c>
      <c r="K158" t="str">
        <f>"RARO "</f>
        <v xml:space="preserve">RARO </v>
      </c>
      <c r="L158" t="str">
        <f>"GENERAL MANAGER "</f>
        <v xml:space="preserve">GENERAL MANAGER </v>
      </c>
      <c r="M158" t="str">
        <f>"PO BOX 504974 "</f>
        <v xml:space="preserve">PO BOX 504974 </v>
      </c>
      <c r="N158" t="str">
        <f>""</f>
        <v/>
      </c>
      <c r="O158" t="str">
        <f>"SAIPAN "</f>
        <v xml:space="preserve">SAIPAN </v>
      </c>
      <c r="P158" t="str">
        <f t="shared" si="111"/>
        <v>MP</v>
      </c>
      <c r="Q158" s="4" t="str">
        <f t="shared" si="108"/>
        <v>96950</v>
      </c>
      <c r="R158" t="str">
        <f t="shared" si="90"/>
        <v>UNITED STATES OF AMERICA</v>
      </c>
      <c r="S158" t="str">
        <f>""</f>
        <v/>
      </c>
      <c r="T158" s="5" t="str">
        <f>"16702358778"</f>
        <v>16702358778</v>
      </c>
      <c r="U158" t="str">
        <f>""</f>
        <v/>
      </c>
      <c r="V158" s="5" t="str">
        <f>""</f>
        <v/>
      </c>
      <c r="W158" t="str">
        <f>"janebaes@rnvconstruction.com"</f>
        <v>janebaes@rnvconstruction.com</v>
      </c>
      <c r="X158" t="str">
        <f>"RJCL CORPORATION "</f>
        <v xml:space="preserve">RJCL CORPORATION </v>
      </c>
      <c r="Y158" t="str">
        <f>"RNV CONSTRUCTION "</f>
        <v xml:space="preserve">RNV CONSTRUCTION </v>
      </c>
      <c r="Z158" t="str">
        <f>"PO BOX 504974 "</f>
        <v xml:space="preserve">PO BOX 504974 </v>
      </c>
      <c r="AA158" t="str">
        <f>""</f>
        <v/>
      </c>
      <c r="AB158" t="str">
        <f>"SAIPAN "</f>
        <v xml:space="preserve">SAIPAN </v>
      </c>
      <c r="AC158" t="str">
        <f t="shared" si="91"/>
        <v>MP</v>
      </c>
      <c r="AD158" t="str">
        <f t="shared" si="109"/>
        <v>96950</v>
      </c>
      <c r="AE158" t="str">
        <f t="shared" si="92"/>
        <v>UNITED STATES OF AMERICA</v>
      </c>
      <c r="AF158" t="str">
        <f>""</f>
        <v/>
      </c>
      <c r="AG158" s="4" t="str">
        <f>"16702358778"</f>
        <v>16702358778</v>
      </c>
      <c r="AH158" t="str">
        <f>""</f>
        <v/>
      </c>
      <c r="AI158" t="str">
        <f>"23622"</f>
        <v>23622</v>
      </c>
      <c r="AJ158" t="s">
        <v>79</v>
      </c>
      <c r="AK158" t="s">
        <v>79</v>
      </c>
      <c r="AL158" t="s">
        <v>80</v>
      </c>
      <c r="AM158" t="s">
        <v>79</v>
      </c>
      <c r="AP158" t="str">
        <f>"MAINTENANCE AND REPAIR WORKER "</f>
        <v xml:space="preserve">MAINTENANCE AND REPAIR WORKER </v>
      </c>
      <c r="AQ158" t="str">
        <f>"49-9071.00"</f>
        <v>49-9071.00</v>
      </c>
      <c r="AR158" t="str">
        <f>"Maintenance and Repair Workers, General"</f>
        <v>Maintenance and Repair Workers, General</v>
      </c>
      <c r="AS158" t="str">
        <f>"N/A"</f>
        <v>N/A</v>
      </c>
      <c r="AT158" t="s">
        <v>79</v>
      </c>
      <c r="AU158" t="str">
        <f>""</f>
        <v/>
      </c>
      <c r="AV158" t="str">
        <f>""</f>
        <v/>
      </c>
      <c r="AW158" t="s">
        <v>79</v>
      </c>
      <c r="AX158" t="str">
        <f>""</f>
        <v/>
      </c>
      <c r="AY158" t="s">
        <v>84</v>
      </c>
      <c r="BA158" t="s">
        <v>80</v>
      </c>
      <c r="BB158" t="s">
        <v>79</v>
      </c>
      <c r="BD158" t="s">
        <v>79</v>
      </c>
      <c r="BG158" t="s">
        <v>79</v>
      </c>
      <c r="BJ158" t="s">
        <v>1301</v>
      </c>
      <c r="BK158" t="str">
        <f>"BEACHROAD GARAPAN VILLAGE "</f>
        <v xml:space="preserve">BEACHROAD GARAPAN VILLAGE </v>
      </c>
      <c r="BL158" t="str">
        <f>""</f>
        <v/>
      </c>
      <c r="BM158" t="str">
        <f>"SAIPAN "</f>
        <v xml:space="preserve">SAIPAN </v>
      </c>
      <c r="BO158" t="s">
        <v>83</v>
      </c>
      <c r="BP158" s="4" t="str">
        <f t="shared" si="112"/>
        <v>96950</v>
      </c>
      <c r="BQ158" t="s">
        <v>79</v>
      </c>
      <c r="BR158" t="str">
        <f>"49-9071.00"</f>
        <v>49-9071.00</v>
      </c>
      <c r="BS158" t="s">
        <v>146</v>
      </c>
      <c r="BT158" s="3">
        <v>9.19</v>
      </c>
      <c r="BU158" t="s">
        <v>80</v>
      </c>
      <c r="BV158" t="s">
        <v>90</v>
      </c>
      <c r="BW158" t="s">
        <v>92</v>
      </c>
      <c r="BZ158" s="1">
        <v>45107</v>
      </c>
    </row>
    <row r="159" spans="1:78" ht="15" customHeight="1" x14ac:dyDescent="0.25">
      <c r="A159" t="s">
        <v>1207</v>
      </c>
      <c r="B159" t="s">
        <v>94</v>
      </c>
      <c r="C159" s="1">
        <v>44859</v>
      </c>
      <c r="D159" s="1">
        <v>44901</v>
      </c>
      <c r="H159" t="s">
        <v>78</v>
      </c>
      <c r="I159" t="str">
        <f>"RAMOS"</f>
        <v>RAMOS</v>
      </c>
      <c r="J159" t="str">
        <f>"GIA"</f>
        <v>GIA</v>
      </c>
      <c r="K159" t="str">
        <f>"BLANCAFLOR"</f>
        <v>BLANCAFLOR</v>
      </c>
      <c r="L159" t="str">
        <f>"PRESIDENT"</f>
        <v>PRESIDENT</v>
      </c>
      <c r="M159" t="str">
        <f>"PO BOX 9663"</f>
        <v>PO BOX 9663</v>
      </c>
      <c r="N159" t="str">
        <f>""</f>
        <v/>
      </c>
      <c r="O159" t="str">
        <f>"TAMUNING"</f>
        <v>TAMUNING</v>
      </c>
      <c r="P159" t="str">
        <f>"GU"</f>
        <v>GU</v>
      </c>
      <c r="Q159" s="4" t="str">
        <f>"96931"</f>
        <v>96931</v>
      </c>
      <c r="R159" t="str">
        <f t="shared" si="90"/>
        <v>UNITED STATES OF AMERICA</v>
      </c>
      <c r="S159" t="str">
        <f>"N/A"</f>
        <v>N/A</v>
      </c>
      <c r="T159" s="5" t="str">
        <f>"16716498746"</f>
        <v>16716498746</v>
      </c>
      <c r="U159" t="str">
        <f>"203"</f>
        <v>203</v>
      </c>
      <c r="V159" s="5" t="str">
        <f>""</f>
        <v/>
      </c>
      <c r="W159" t="str">
        <f>"admin@hhcare.co"</f>
        <v>admin@hhcare.co</v>
      </c>
      <c r="X159" t="str">
        <f>"TRI ENTERPRISES, INC."</f>
        <v>TRI ENTERPRISES, INC.</v>
      </c>
      <c r="Y159" t="str">
        <f>"Marianas Visiting Nurses"</f>
        <v>Marianas Visiting Nurses</v>
      </c>
      <c r="Z159" t="str">
        <f>"BRI BUILDING KOPA DI ORU ST. GARAPAN"</f>
        <v>BRI BUILDING KOPA DI ORU ST. GARAPAN</v>
      </c>
      <c r="AA159" t="str">
        <f>"SUITE 104"</f>
        <v>SUITE 104</v>
      </c>
      <c r="AB159" t="str">
        <f>"SAIPAN"</f>
        <v>SAIPAN</v>
      </c>
      <c r="AC159" t="str">
        <f t="shared" si="91"/>
        <v>MP</v>
      </c>
      <c r="AD159" t="str">
        <f t="shared" si="109"/>
        <v>96950</v>
      </c>
      <c r="AE159" t="str">
        <f t="shared" si="92"/>
        <v>UNITED STATES OF AMERICA</v>
      </c>
      <c r="AF159" t="str">
        <f>"N/A"</f>
        <v>N/A</v>
      </c>
      <c r="AG159" s="4" t="str">
        <f>"16703236877"</f>
        <v>16703236877</v>
      </c>
      <c r="AH159" t="str">
        <f>""</f>
        <v/>
      </c>
      <c r="AI159" t="str">
        <f>"62161"</f>
        <v>62161</v>
      </c>
      <c r="AJ159" t="s">
        <v>79</v>
      </c>
      <c r="AK159" t="s">
        <v>79</v>
      </c>
      <c r="AL159" t="s">
        <v>80</v>
      </c>
      <c r="AM159" t="s">
        <v>79</v>
      </c>
      <c r="AP159" t="str">
        <f>"PHYSICAL THERAPIST AIDE"</f>
        <v>PHYSICAL THERAPIST AIDE</v>
      </c>
      <c r="AQ159" t="str">
        <f>"31-2022.00"</f>
        <v>31-2022.00</v>
      </c>
      <c r="AR159" t="str">
        <f>"Physical Therapist Aides"</f>
        <v>Physical Therapist Aides</v>
      </c>
      <c r="AS159" t="str">
        <f>"CLINICAL MANAGER"</f>
        <v>CLINICAL MANAGER</v>
      </c>
      <c r="AT159" t="s">
        <v>79</v>
      </c>
      <c r="AU159" t="str">
        <f>""</f>
        <v/>
      </c>
      <c r="AV159" t="str">
        <f>""</f>
        <v/>
      </c>
      <c r="AW159" t="s">
        <v>82</v>
      </c>
      <c r="AX159" t="str">
        <f>"FROM OFFICE TO PATIENT HOME"</f>
        <v>FROM OFFICE TO PATIENT HOME</v>
      </c>
      <c r="AY159" t="s">
        <v>81</v>
      </c>
      <c r="BA159" t="s">
        <v>80</v>
      </c>
      <c r="BB159" t="s">
        <v>79</v>
      </c>
      <c r="BD159" t="s">
        <v>79</v>
      </c>
      <c r="BG159" t="s">
        <v>79</v>
      </c>
      <c r="BJ159" s="2" t="s">
        <v>1208</v>
      </c>
      <c r="BK159" t="str">
        <f>"BRI BUILDING KOPA DI ORU ST. GARAPAN"</f>
        <v>BRI BUILDING KOPA DI ORU ST. GARAPAN</v>
      </c>
      <c r="BL159" t="str">
        <f>"SUITE 104"</f>
        <v>SUITE 104</v>
      </c>
      <c r="BM159" t="str">
        <f>"SAIPAN"</f>
        <v>SAIPAN</v>
      </c>
      <c r="BO159" t="s">
        <v>83</v>
      </c>
      <c r="BP159" s="4" t="str">
        <f t="shared" si="112"/>
        <v>96950</v>
      </c>
      <c r="BQ159" t="s">
        <v>79</v>
      </c>
      <c r="BR159" t="str">
        <f>"31-2022.00"</f>
        <v>31-2022.00</v>
      </c>
      <c r="BS159" t="s">
        <v>1209</v>
      </c>
      <c r="BT159" s="3">
        <v>9.93</v>
      </c>
      <c r="BU159" t="s">
        <v>80</v>
      </c>
      <c r="BV159" t="s">
        <v>90</v>
      </c>
      <c r="BW159" t="s">
        <v>265</v>
      </c>
      <c r="BZ159" s="1">
        <v>45107</v>
      </c>
    </row>
    <row r="160" spans="1:78" ht="15" customHeight="1" x14ac:dyDescent="0.25">
      <c r="A160" t="s">
        <v>1210</v>
      </c>
      <c r="B160" t="s">
        <v>94</v>
      </c>
      <c r="C160" s="1">
        <v>44859</v>
      </c>
      <c r="D160" s="1">
        <v>44901</v>
      </c>
      <c r="H160" t="s">
        <v>78</v>
      </c>
      <c r="I160" t="str">
        <f>"RAMOS"</f>
        <v>RAMOS</v>
      </c>
      <c r="J160" t="str">
        <f>"GIA"</f>
        <v>GIA</v>
      </c>
      <c r="K160" t="str">
        <f>"BLANCAFLOR"</f>
        <v>BLANCAFLOR</v>
      </c>
      <c r="L160" t="str">
        <f>"PRESIDENT"</f>
        <v>PRESIDENT</v>
      </c>
      <c r="M160" t="str">
        <f>"BRI BUILDING KOPA DI ORU ST. GARAPAN"</f>
        <v>BRI BUILDING KOPA DI ORU ST. GARAPAN</v>
      </c>
      <c r="N160" t="str">
        <f>"SUITE 104"</f>
        <v>SUITE 104</v>
      </c>
      <c r="O160" t="str">
        <f>"SAIPAN"</f>
        <v>SAIPAN</v>
      </c>
      <c r="P160" t="str">
        <f>"MP"</f>
        <v>MP</v>
      </c>
      <c r="Q160" s="4" t="str">
        <f>"96950"</f>
        <v>96950</v>
      </c>
      <c r="R160" t="str">
        <f t="shared" si="90"/>
        <v>UNITED STATES OF AMERICA</v>
      </c>
      <c r="S160" t="str">
        <f>"N/A"</f>
        <v>N/A</v>
      </c>
      <c r="T160" s="5" t="str">
        <f>"16716498746"</f>
        <v>16716498746</v>
      </c>
      <c r="U160" t="str">
        <f>"203"</f>
        <v>203</v>
      </c>
      <c r="V160" s="5" t="str">
        <f>""</f>
        <v/>
      </c>
      <c r="W160" t="str">
        <f>"admin@hhcare.co"</f>
        <v>admin@hhcare.co</v>
      </c>
      <c r="X160" t="str">
        <f>"TRI ENTERPRISES, INC."</f>
        <v>TRI ENTERPRISES, INC.</v>
      </c>
      <c r="Y160" t="str">
        <f>"Marianas Visiting Nurses"</f>
        <v>Marianas Visiting Nurses</v>
      </c>
      <c r="Z160" t="str">
        <f>"BRI BUILDING KOPA DI ORU ST. GARAPAN"</f>
        <v>BRI BUILDING KOPA DI ORU ST. GARAPAN</v>
      </c>
      <c r="AA160" t="str">
        <f>"SUITE 104"</f>
        <v>SUITE 104</v>
      </c>
      <c r="AB160" t="str">
        <f>"SAIPAN"</f>
        <v>SAIPAN</v>
      </c>
      <c r="AC160" t="str">
        <f t="shared" si="91"/>
        <v>MP</v>
      </c>
      <c r="AD160" t="str">
        <f t="shared" si="109"/>
        <v>96950</v>
      </c>
      <c r="AE160" t="str">
        <f t="shared" si="92"/>
        <v>UNITED STATES OF AMERICA</v>
      </c>
      <c r="AF160" t="str">
        <f>"N/A"</f>
        <v>N/A</v>
      </c>
      <c r="AG160" s="4" t="str">
        <f>"16703236877"</f>
        <v>16703236877</v>
      </c>
      <c r="AH160" t="str">
        <f>""</f>
        <v/>
      </c>
      <c r="AI160" t="str">
        <f>"62161"</f>
        <v>62161</v>
      </c>
      <c r="AJ160" t="s">
        <v>79</v>
      </c>
      <c r="AK160" t="s">
        <v>79</v>
      </c>
      <c r="AL160" t="s">
        <v>80</v>
      </c>
      <c r="AM160" t="s">
        <v>79</v>
      </c>
      <c r="AP160" t="str">
        <f>"PERSONAL CARE SERVICES WORKER AND, ALL OTHERS"</f>
        <v>PERSONAL CARE SERVICES WORKER AND, ALL OTHERS</v>
      </c>
      <c r="AQ160" t="str">
        <f>"39-9099.00"</f>
        <v>39-9099.00</v>
      </c>
      <c r="AR160" t="str">
        <f>"Personal Care and Service Workers, All Other"</f>
        <v>Personal Care and Service Workers, All Other</v>
      </c>
      <c r="AS160" t="str">
        <f>"CLINICAL MANAGER"</f>
        <v>CLINICAL MANAGER</v>
      </c>
      <c r="AT160" t="s">
        <v>79</v>
      </c>
      <c r="AU160" t="str">
        <f>""</f>
        <v/>
      </c>
      <c r="AV160" t="str">
        <f>""</f>
        <v/>
      </c>
      <c r="AW160" t="s">
        <v>82</v>
      </c>
      <c r="AX160" t="str">
        <f>"FROM OFFICE TO PATIENT HOME"</f>
        <v>FROM OFFICE TO PATIENT HOME</v>
      </c>
      <c r="AY160" t="s">
        <v>81</v>
      </c>
      <c r="BA160" t="s">
        <v>80</v>
      </c>
      <c r="BB160" t="s">
        <v>79</v>
      </c>
      <c r="BD160" t="s">
        <v>79</v>
      </c>
      <c r="BG160" t="s">
        <v>82</v>
      </c>
      <c r="BH160">
        <v>12</v>
      </c>
      <c r="BI160" t="s">
        <v>1211</v>
      </c>
      <c r="BJ160" t="s">
        <v>1212</v>
      </c>
      <c r="BK160" t="str">
        <f>"BRI BUILDING KOPA DI ORU ST. GARAPAN"</f>
        <v>BRI BUILDING KOPA DI ORU ST. GARAPAN</v>
      </c>
      <c r="BL160" t="str">
        <f>"SUITE 104"</f>
        <v>SUITE 104</v>
      </c>
      <c r="BM160" t="str">
        <f>"SAIPAN"</f>
        <v>SAIPAN</v>
      </c>
      <c r="BO160" t="s">
        <v>83</v>
      </c>
      <c r="BP160" s="4" t="str">
        <f t="shared" si="112"/>
        <v>96950</v>
      </c>
      <c r="BQ160" t="s">
        <v>79</v>
      </c>
      <c r="BR160" t="str">
        <f>"31-1122.00"</f>
        <v>31-1122.00</v>
      </c>
      <c r="BS160" t="s">
        <v>1213</v>
      </c>
      <c r="BT160" s="3">
        <v>12.96</v>
      </c>
      <c r="BU160" t="s">
        <v>80</v>
      </c>
      <c r="BV160" t="s">
        <v>90</v>
      </c>
      <c r="BW160" t="s">
        <v>92</v>
      </c>
      <c r="BZ160" s="1">
        <v>45107</v>
      </c>
    </row>
    <row r="161" spans="1:78" ht="15" customHeight="1" x14ac:dyDescent="0.25">
      <c r="A161" t="s">
        <v>1214</v>
      </c>
      <c r="B161" t="s">
        <v>94</v>
      </c>
      <c r="C161" s="1">
        <v>44859</v>
      </c>
      <c r="D161" s="1">
        <v>44901</v>
      </c>
      <c r="H161" t="s">
        <v>78</v>
      </c>
      <c r="I161" t="str">
        <f>"RAMOS"</f>
        <v>RAMOS</v>
      </c>
      <c r="J161" t="str">
        <f>"GIA"</f>
        <v>GIA</v>
      </c>
      <c r="K161" t="str">
        <f>"BLANCAFLOR"</f>
        <v>BLANCAFLOR</v>
      </c>
      <c r="L161" t="str">
        <f>"PRESIDENT"</f>
        <v>PRESIDENT</v>
      </c>
      <c r="M161" t="str">
        <f>"PO BOX 9663"</f>
        <v>PO BOX 9663</v>
      </c>
      <c r="N161" t="str">
        <f>""</f>
        <v/>
      </c>
      <c r="O161" t="str">
        <f>"TAMUNING"</f>
        <v>TAMUNING</v>
      </c>
      <c r="P161" t="str">
        <f>"GU"</f>
        <v>GU</v>
      </c>
      <c r="Q161" s="4" t="str">
        <f>"96931"</f>
        <v>96931</v>
      </c>
      <c r="R161" t="str">
        <f t="shared" si="90"/>
        <v>UNITED STATES OF AMERICA</v>
      </c>
      <c r="S161" t="str">
        <f>"N/A"</f>
        <v>N/A</v>
      </c>
      <c r="T161" s="5" t="str">
        <f>"16716498746"</f>
        <v>16716498746</v>
      </c>
      <c r="U161" t="str">
        <f>"203"</f>
        <v>203</v>
      </c>
      <c r="V161" s="5" t="str">
        <f>""</f>
        <v/>
      </c>
      <c r="W161" t="str">
        <f>"admin@hhcare.co"</f>
        <v>admin@hhcare.co</v>
      </c>
      <c r="X161" t="str">
        <f>"TRI ENTERPRISES, INC."</f>
        <v>TRI ENTERPRISES, INC.</v>
      </c>
      <c r="Y161" t="str">
        <f>"Marianas Visiting Nurses"</f>
        <v>Marianas Visiting Nurses</v>
      </c>
      <c r="Z161" t="str">
        <f>"BRI BUILDING KOPA DI ORU ST. GARAPAN"</f>
        <v>BRI BUILDING KOPA DI ORU ST. GARAPAN</v>
      </c>
      <c r="AA161" t="str">
        <f>"SUITE 104"</f>
        <v>SUITE 104</v>
      </c>
      <c r="AB161" t="str">
        <f>"SAIPAN"</f>
        <v>SAIPAN</v>
      </c>
      <c r="AC161" t="str">
        <f t="shared" si="91"/>
        <v>MP</v>
      </c>
      <c r="AD161" t="str">
        <f t="shared" si="109"/>
        <v>96950</v>
      </c>
      <c r="AE161" t="str">
        <f t="shared" si="92"/>
        <v>UNITED STATES OF AMERICA</v>
      </c>
      <c r="AF161" t="str">
        <f>"N/A"</f>
        <v>N/A</v>
      </c>
      <c r="AG161" s="4" t="str">
        <f>"16703236877"</f>
        <v>16703236877</v>
      </c>
      <c r="AH161" t="str">
        <f>""</f>
        <v/>
      </c>
      <c r="AI161" t="str">
        <f>"62161"</f>
        <v>62161</v>
      </c>
      <c r="AJ161" t="s">
        <v>79</v>
      </c>
      <c r="AK161" t="s">
        <v>79</v>
      </c>
      <c r="AL161" t="s">
        <v>80</v>
      </c>
      <c r="AM161" t="s">
        <v>79</v>
      </c>
      <c r="AP161" t="str">
        <f>"LICENSED PRACTICAL AND LICENSED VOCATIONAL NURSES"</f>
        <v>LICENSED PRACTICAL AND LICENSED VOCATIONAL NURSES</v>
      </c>
      <c r="AQ161" t="str">
        <f>"29-2061.00"</f>
        <v>29-2061.00</v>
      </c>
      <c r="AR161" t="str">
        <f>"Licensed Practical and Licensed Vocational Nurses"</f>
        <v>Licensed Practical and Licensed Vocational Nurses</v>
      </c>
      <c r="AS161" t="str">
        <f>"CLINICAL MANAGER"</f>
        <v>CLINICAL MANAGER</v>
      </c>
      <c r="AT161" t="s">
        <v>79</v>
      </c>
      <c r="AU161" t="str">
        <f>""</f>
        <v/>
      </c>
      <c r="AV161" t="str">
        <f>""</f>
        <v/>
      </c>
      <c r="AW161" t="s">
        <v>82</v>
      </c>
      <c r="AX161" t="str">
        <f>"FROM OFFICE TO PATIENT HOME"</f>
        <v>FROM OFFICE TO PATIENT HOME</v>
      </c>
      <c r="AY161" t="s">
        <v>124</v>
      </c>
      <c r="BA161" t="s">
        <v>1093</v>
      </c>
      <c r="BB161" t="s">
        <v>79</v>
      </c>
      <c r="BD161" t="s">
        <v>79</v>
      </c>
      <c r="BG161" t="s">
        <v>79</v>
      </c>
      <c r="BJ161" s="2" t="s">
        <v>1215</v>
      </c>
      <c r="BK161" t="str">
        <f>"BRI BUILDING KOPA DI ORU ST. GARAPAN"</f>
        <v>BRI BUILDING KOPA DI ORU ST. GARAPAN</v>
      </c>
      <c r="BL161" t="str">
        <f>"SUITE 104"</f>
        <v>SUITE 104</v>
      </c>
      <c r="BM161" t="str">
        <f>"SAIPAN"</f>
        <v>SAIPAN</v>
      </c>
      <c r="BO161" t="s">
        <v>83</v>
      </c>
      <c r="BP161" s="4" t="str">
        <f t="shared" si="112"/>
        <v>96950</v>
      </c>
      <c r="BQ161" t="s">
        <v>79</v>
      </c>
      <c r="BR161" t="str">
        <f>"29-2061.00"</f>
        <v>29-2061.00</v>
      </c>
      <c r="BS161" t="s">
        <v>128</v>
      </c>
      <c r="BT161" s="3">
        <v>15.18</v>
      </c>
      <c r="BU161" t="s">
        <v>80</v>
      </c>
      <c r="BV161" t="s">
        <v>90</v>
      </c>
      <c r="BW161" t="s">
        <v>92</v>
      </c>
      <c r="BZ161" s="1">
        <v>45107</v>
      </c>
    </row>
    <row r="162" spans="1:78" ht="15" customHeight="1" x14ac:dyDescent="0.25">
      <c r="A162" t="s">
        <v>1216</v>
      </c>
      <c r="B162" t="s">
        <v>94</v>
      </c>
      <c r="C162" s="1">
        <v>44859</v>
      </c>
      <c r="D162" s="1">
        <v>44901</v>
      </c>
      <c r="H162" t="s">
        <v>78</v>
      </c>
      <c r="I162" t="str">
        <f>"RAMOS"</f>
        <v>RAMOS</v>
      </c>
      <c r="J162" t="str">
        <f>"GIA"</f>
        <v>GIA</v>
      </c>
      <c r="K162" t="str">
        <f>"BLANCAFLOR"</f>
        <v>BLANCAFLOR</v>
      </c>
      <c r="L162" t="str">
        <f>"PRESIDENT"</f>
        <v>PRESIDENT</v>
      </c>
      <c r="M162" t="str">
        <f>"PO BOX 9663"</f>
        <v>PO BOX 9663</v>
      </c>
      <c r="N162" t="str">
        <f>""</f>
        <v/>
      </c>
      <c r="O162" t="str">
        <f>"TAMUNING"</f>
        <v>TAMUNING</v>
      </c>
      <c r="P162" t="str">
        <f>"GU"</f>
        <v>GU</v>
      </c>
      <c r="Q162" s="4" t="str">
        <f>"96931"</f>
        <v>96931</v>
      </c>
      <c r="R162" t="str">
        <f t="shared" si="90"/>
        <v>UNITED STATES OF AMERICA</v>
      </c>
      <c r="S162" t="str">
        <f>"N/A"</f>
        <v>N/A</v>
      </c>
      <c r="T162" s="5" t="str">
        <f>"16716498746"</f>
        <v>16716498746</v>
      </c>
      <c r="U162" t="str">
        <f>"203"</f>
        <v>203</v>
      </c>
      <c r="V162" s="5" t="str">
        <f>""</f>
        <v/>
      </c>
      <c r="W162" t="str">
        <f>"admin@hhcare.co"</f>
        <v>admin@hhcare.co</v>
      </c>
      <c r="X162" t="str">
        <f>"TRI ENTERPRISES, INC."</f>
        <v>TRI ENTERPRISES, INC.</v>
      </c>
      <c r="Y162" t="str">
        <f>"Marianas Visiting Nurses"</f>
        <v>Marianas Visiting Nurses</v>
      </c>
      <c r="Z162" t="str">
        <f>"BRI BUILDING KOPA DI ORU ST. GARAPAN"</f>
        <v>BRI BUILDING KOPA DI ORU ST. GARAPAN</v>
      </c>
      <c r="AA162" t="str">
        <f>"SUITE 104"</f>
        <v>SUITE 104</v>
      </c>
      <c r="AB162" t="str">
        <f>"SAIPAN"</f>
        <v>SAIPAN</v>
      </c>
      <c r="AC162" t="str">
        <f t="shared" si="91"/>
        <v>MP</v>
      </c>
      <c r="AD162" t="str">
        <f t="shared" si="109"/>
        <v>96950</v>
      </c>
      <c r="AE162" t="str">
        <f t="shared" si="92"/>
        <v>UNITED STATES OF AMERICA</v>
      </c>
      <c r="AF162" t="str">
        <f>"N/A"</f>
        <v>N/A</v>
      </c>
      <c r="AG162" s="4" t="str">
        <f>"16703236877"</f>
        <v>16703236877</v>
      </c>
      <c r="AH162" t="str">
        <f>""</f>
        <v/>
      </c>
      <c r="AI162" t="str">
        <f>"62161"</f>
        <v>62161</v>
      </c>
      <c r="AJ162" t="s">
        <v>79</v>
      </c>
      <c r="AK162" t="s">
        <v>79</v>
      </c>
      <c r="AL162" t="s">
        <v>80</v>
      </c>
      <c r="AM162" t="s">
        <v>79</v>
      </c>
      <c r="AP162" t="str">
        <f>"BOOKKEEPING, ACCOUNTING AND AUDITING CLERK"</f>
        <v>BOOKKEEPING, ACCOUNTING AND AUDITING CLERK</v>
      </c>
      <c r="AQ162" t="str">
        <f>"43-3031.00"</f>
        <v>43-3031.00</v>
      </c>
      <c r="AR162" t="str">
        <f>"Bookkeeping, Accounting, and Auditing Clerks"</f>
        <v>Bookkeeping, Accounting, and Auditing Clerks</v>
      </c>
      <c r="AS162" t="str">
        <f>"ACCOUNTANT"</f>
        <v>ACCOUNTANT</v>
      </c>
      <c r="AT162" t="s">
        <v>79</v>
      </c>
      <c r="AU162" t="str">
        <f>""</f>
        <v/>
      </c>
      <c r="AV162" t="str">
        <f>""</f>
        <v/>
      </c>
      <c r="AW162" t="s">
        <v>79</v>
      </c>
      <c r="AX162" t="str">
        <f>""</f>
        <v/>
      </c>
      <c r="AY162" t="s">
        <v>81</v>
      </c>
      <c r="BA162" t="s">
        <v>80</v>
      </c>
      <c r="BB162" t="s">
        <v>79</v>
      </c>
      <c r="BD162" t="s">
        <v>79</v>
      </c>
      <c r="BG162" t="s">
        <v>82</v>
      </c>
      <c r="BH162">
        <v>12</v>
      </c>
      <c r="BI162" t="s">
        <v>1217</v>
      </c>
      <c r="BJ162" t="s">
        <v>1218</v>
      </c>
      <c r="BK162" t="str">
        <f>"BRI BLDG. KOPA DI ORU ST. GARAPAN"</f>
        <v>BRI BLDG. KOPA DI ORU ST. GARAPAN</v>
      </c>
      <c r="BL162" t="str">
        <f>"SUITE 104 B"</f>
        <v>SUITE 104 B</v>
      </c>
      <c r="BM162" t="str">
        <f>"SAIPAN"</f>
        <v>SAIPAN</v>
      </c>
      <c r="BO162" t="s">
        <v>83</v>
      </c>
      <c r="BP162" s="4" t="str">
        <f t="shared" si="112"/>
        <v>96950</v>
      </c>
      <c r="BQ162" t="s">
        <v>79</v>
      </c>
      <c r="BR162" t="str">
        <f>"43-3031.00"</f>
        <v>43-3031.00</v>
      </c>
      <c r="BS162" t="s">
        <v>142</v>
      </c>
      <c r="BT162" s="3">
        <v>11.21</v>
      </c>
      <c r="BU162" t="s">
        <v>80</v>
      </c>
      <c r="BV162" t="s">
        <v>90</v>
      </c>
      <c r="BW162" t="s">
        <v>92</v>
      </c>
      <c r="BZ162" s="1">
        <v>45107</v>
      </c>
    </row>
    <row r="163" spans="1:78" ht="15" customHeight="1" x14ac:dyDescent="0.25">
      <c r="A163" t="s">
        <v>1181</v>
      </c>
      <c r="B163" t="s">
        <v>94</v>
      </c>
      <c r="C163" s="1">
        <v>44858</v>
      </c>
      <c r="D163" s="1">
        <v>44901</v>
      </c>
      <c r="H163" t="s">
        <v>78</v>
      </c>
      <c r="I163" t="str">
        <f>"BISCOCHO "</f>
        <v xml:space="preserve">BISCOCHO </v>
      </c>
      <c r="J163" t="str">
        <f>"DENNIS "</f>
        <v xml:space="preserve">DENNIS </v>
      </c>
      <c r="K163" t="str">
        <f>"ALCANTARA "</f>
        <v xml:space="preserve">ALCANTARA </v>
      </c>
      <c r="L163" t="str">
        <f>"PRESIDENT "</f>
        <v xml:space="preserve">PRESIDENT </v>
      </c>
      <c r="M163" t="str">
        <f>"P.O BOX 500728"</f>
        <v>P.O BOX 500728</v>
      </c>
      <c r="N163" t="str">
        <f>"SUITE #203, SAIPAN PLAZA BLDG, GUALO RAI "</f>
        <v xml:space="preserve">SUITE #203, SAIPAN PLAZA BLDG, GUALO RAI </v>
      </c>
      <c r="O163" t="str">
        <f>"SAIPAN "</f>
        <v xml:space="preserve">SAIPAN </v>
      </c>
      <c r="P163" t="str">
        <f t="shared" ref="P163:P186" si="113">"MP"</f>
        <v>MP</v>
      </c>
      <c r="Q163" s="4" t="str">
        <f t="shared" ref="Q163:Q186" si="114">"96950"</f>
        <v>96950</v>
      </c>
      <c r="R163" t="str">
        <f t="shared" si="90"/>
        <v>UNITED STATES OF AMERICA</v>
      </c>
      <c r="S163" t="str">
        <f>""</f>
        <v/>
      </c>
      <c r="T163" s="5" t="str">
        <f>"16704843028"</f>
        <v>16704843028</v>
      </c>
      <c r="U163" t="str">
        <f>""</f>
        <v/>
      </c>
      <c r="V163" s="5" t="str">
        <f>""</f>
        <v/>
      </c>
      <c r="W163" t="str">
        <f>"firstalarm.670@hotmail.com"</f>
        <v>firstalarm.670@hotmail.com</v>
      </c>
      <c r="X163" t="str">
        <f>"FIRST ALARM COMPANY "</f>
        <v xml:space="preserve">FIRST ALARM COMPANY </v>
      </c>
      <c r="Y163" t="str">
        <f>""</f>
        <v/>
      </c>
      <c r="Z163" t="str">
        <f>"P.O BOX 500728"</f>
        <v>P.O BOX 500728</v>
      </c>
      <c r="AA163" t="str">
        <f>"SUITE #203, SAIPAN PLAZA BLDG, GUALO RAI "</f>
        <v xml:space="preserve">SUITE #203, SAIPAN PLAZA BLDG, GUALO RAI </v>
      </c>
      <c r="AB163" t="str">
        <f>"SAIPAN "</f>
        <v xml:space="preserve">SAIPAN </v>
      </c>
      <c r="AC163" t="str">
        <f t="shared" si="91"/>
        <v>MP</v>
      </c>
      <c r="AD163" t="str">
        <f t="shared" si="109"/>
        <v>96950</v>
      </c>
      <c r="AE163" t="str">
        <f t="shared" si="92"/>
        <v>UNITED STATES OF AMERICA</v>
      </c>
      <c r="AF163" t="str">
        <f>""</f>
        <v/>
      </c>
      <c r="AG163" s="4" t="str">
        <f>"16704843028"</f>
        <v>16704843028</v>
      </c>
      <c r="AH163" t="str">
        <f>""</f>
        <v/>
      </c>
      <c r="AI163" t="str">
        <f>"42361"</f>
        <v>42361</v>
      </c>
      <c r="AJ163" t="s">
        <v>79</v>
      </c>
      <c r="AK163" t="s">
        <v>79</v>
      </c>
      <c r="AL163" t="s">
        <v>80</v>
      </c>
      <c r="AM163" t="s">
        <v>79</v>
      </c>
      <c r="AP163" t="str">
        <f>"ACCOUNTING CLERK "</f>
        <v xml:space="preserve">ACCOUNTING CLERK </v>
      </c>
      <c r="AQ163" t="str">
        <f>"43-3031.00"</f>
        <v>43-3031.00</v>
      </c>
      <c r="AR163" t="str">
        <f>"Bookkeeping, Accounting, and Auditing Clerks"</f>
        <v>Bookkeeping, Accounting, and Auditing Clerks</v>
      </c>
      <c r="AS163" t="str">
        <f>"ACCOUNTANT "</f>
        <v xml:space="preserve">ACCOUNTANT </v>
      </c>
      <c r="AT163" t="s">
        <v>79</v>
      </c>
      <c r="AU163" t="str">
        <f>""</f>
        <v/>
      </c>
      <c r="AV163" t="str">
        <f>""</f>
        <v/>
      </c>
      <c r="AW163" t="s">
        <v>79</v>
      </c>
      <c r="AX163" t="str">
        <f>""</f>
        <v/>
      </c>
      <c r="AY163" t="s">
        <v>84</v>
      </c>
      <c r="BA163" t="s">
        <v>80</v>
      </c>
      <c r="BB163" t="s">
        <v>79</v>
      </c>
      <c r="BD163" t="s">
        <v>79</v>
      </c>
      <c r="BG163" t="s">
        <v>82</v>
      </c>
      <c r="BH163">
        <v>12</v>
      </c>
      <c r="BI163" t="s">
        <v>1182</v>
      </c>
      <c r="BJ163" t="s">
        <v>1183</v>
      </c>
      <c r="BK163" t="str">
        <f>"P.O BOX 500728"</f>
        <v>P.O BOX 500728</v>
      </c>
      <c r="BL163" t="str">
        <f>"SUITE #203, SAIPAN PLAZA BLDG, GUALO RAI "</f>
        <v xml:space="preserve">SUITE #203, SAIPAN PLAZA BLDG, GUALO RAI </v>
      </c>
      <c r="BM163" t="str">
        <f>"SAIPAN "</f>
        <v xml:space="preserve">SAIPAN </v>
      </c>
      <c r="BO163" t="s">
        <v>83</v>
      </c>
      <c r="BP163" s="4" t="str">
        <f t="shared" si="112"/>
        <v>96950</v>
      </c>
      <c r="BQ163" t="s">
        <v>79</v>
      </c>
      <c r="BR163" t="str">
        <f>"43-3031.00"</f>
        <v>43-3031.00</v>
      </c>
      <c r="BS163" t="s">
        <v>142</v>
      </c>
      <c r="BT163" s="3">
        <v>11.21</v>
      </c>
      <c r="BU163" t="s">
        <v>80</v>
      </c>
      <c r="BV163" t="s">
        <v>90</v>
      </c>
      <c r="BW163" t="s">
        <v>92</v>
      </c>
      <c r="BZ163" s="1">
        <v>45107</v>
      </c>
    </row>
    <row r="164" spans="1:78" ht="15" customHeight="1" x14ac:dyDescent="0.25">
      <c r="A164" t="s">
        <v>1184</v>
      </c>
      <c r="B164" t="s">
        <v>94</v>
      </c>
      <c r="C164" s="1">
        <v>44858</v>
      </c>
      <c r="D164" s="1">
        <v>44901</v>
      </c>
      <c r="H164" t="s">
        <v>78</v>
      </c>
      <c r="I164" t="str">
        <f>"LEE"</f>
        <v>LEE</v>
      </c>
      <c r="J164" t="str">
        <f>"DONGHWAN"</f>
        <v>DONGHWAN</v>
      </c>
      <c r="K164" t="str">
        <f>""</f>
        <v/>
      </c>
      <c r="L164" t="str">
        <f>"DIRECTOR OF HUMAN RESOURCES"</f>
        <v>DIRECTOR OF HUMAN RESOURCES</v>
      </c>
      <c r="M164" t="str">
        <f>"CHALAN PALE ARNOLD MAIN ROAD, SAN ROQUE"</f>
        <v>CHALAN PALE ARNOLD MAIN ROAD, SAN ROQUE</v>
      </c>
      <c r="N164" t="str">
        <f>"PO BOX 5152 CHRB"</f>
        <v>PO BOX 5152 CHRB</v>
      </c>
      <c r="O164" t="str">
        <f>"SAIPAN"</f>
        <v>SAIPAN</v>
      </c>
      <c r="P164" t="str">
        <f t="shared" si="113"/>
        <v>MP</v>
      </c>
      <c r="Q164" s="4" t="str">
        <f t="shared" si="114"/>
        <v>96950</v>
      </c>
      <c r="R164" t="str">
        <f t="shared" si="90"/>
        <v>UNITED STATES OF AMERICA</v>
      </c>
      <c r="S164" t="str">
        <f>""</f>
        <v/>
      </c>
      <c r="T164" s="5" t="str">
        <f>"16703223311"</f>
        <v>16703223311</v>
      </c>
      <c r="U164" t="str">
        <f>"4503"</f>
        <v>4503</v>
      </c>
      <c r="V164" s="5" t="str">
        <f>""</f>
        <v/>
      </c>
      <c r="W164" t="str">
        <f>"LEE_DONGHWAN01@eland.co.kr"</f>
        <v>LEE_DONGHWAN01@eland.co.kr</v>
      </c>
      <c r="X164" t="str">
        <f>"MICRONESIA RESORT INC."</f>
        <v>MICRONESIA RESORT INC.</v>
      </c>
      <c r="Y164" t="str">
        <f>"KENSINGTON HOTEL SAIPAN"</f>
        <v>KENSINGTON HOTEL SAIPAN</v>
      </c>
      <c r="Z164" t="str">
        <f>"CHALAN PALE ARNOLD MAIN ROAD, SAN ROQUE"</f>
        <v>CHALAN PALE ARNOLD MAIN ROAD, SAN ROQUE</v>
      </c>
      <c r="AA164" t="str">
        <f>"PO BOX 5152 CHRB"</f>
        <v>PO BOX 5152 CHRB</v>
      </c>
      <c r="AB164" t="str">
        <f>"PO BOX 5152 CHRB"</f>
        <v>PO BOX 5152 CHRB</v>
      </c>
      <c r="AC164" t="str">
        <f t="shared" si="91"/>
        <v>MP</v>
      </c>
      <c r="AD164" t="str">
        <f t="shared" si="109"/>
        <v>96950</v>
      </c>
      <c r="AE164" t="str">
        <f t="shared" si="92"/>
        <v>UNITED STATES OF AMERICA</v>
      </c>
      <c r="AF164" t="str">
        <f>""</f>
        <v/>
      </c>
      <c r="AG164" s="4" t="str">
        <f>"16703223311"</f>
        <v>16703223311</v>
      </c>
      <c r="AH164" t="str">
        <f>"4503"</f>
        <v>4503</v>
      </c>
      <c r="AI164" t="str">
        <f>"72111"</f>
        <v>72111</v>
      </c>
      <c r="AJ164" t="s">
        <v>79</v>
      </c>
      <c r="AK164" t="s">
        <v>79</v>
      </c>
      <c r="AL164" t="s">
        <v>80</v>
      </c>
      <c r="AM164" t="s">
        <v>79</v>
      </c>
      <c r="AP164" t="str">
        <f>"Training and Development Specialist"</f>
        <v>Training and Development Specialist</v>
      </c>
      <c r="AQ164" t="str">
        <f>"13-1151.00"</f>
        <v>13-1151.00</v>
      </c>
      <c r="AR164" t="str">
        <f>"Training and Development Specialists"</f>
        <v>Training and Development Specialists</v>
      </c>
      <c r="AS164" t="str">
        <f>"Director of Human Resources"</f>
        <v>Director of Human Resources</v>
      </c>
      <c r="AT164" t="s">
        <v>82</v>
      </c>
      <c r="AU164" t="str">
        <f>"4"</f>
        <v>4</v>
      </c>
      <c r="AV164" t="str">
        <f>"Subordinate"</f>
        <v>Subordinate</v>
      </c>
      <c r="AW164" t="s">
        <v>79</v>
      </c>
      <c r="AX164" t="str">
        <f>""</f>
        <v/>
      </c>
      <c r="AY164" t="s">
        <v>95</v>
      </c>
      <c r="BA164" t="s">
        <v>1185</v>
      </c>
      <c r="BB164" t="s">
        <v>79</v>
      </c>
      <c r="BD164" t="s">
        <v>79</v>
      </c>
      <c r="BG164" t="s">
        <v>82</v>
      </c>
      <c r="BH164">
        <v>36</v>
      </c>
      <c r="BI164" t="s">
        <v>1186</v>
      </c>
      <c r="BJ164" t="s">
        <v>1187</v>
      </c>
      <c r="BK164" t="str">
        <f>"CHALAN PALE ARNOLD MAIN ROAD, SAN ROQUE"</f>
        <v>CHALAN PALE ARNOLD MAIN ROAD, SAN ROQUE</v>
      </c>
      <c r="BL164" t="str">
        <f>"PO BOX 5152 CHRB"</f>
        <v>PO BOX 5152 CHRB</v>
      </c>
      <c r="BM164" t="str">
        <f>"SAIPAN"</f>
        <v>SAIPAN</v>
      </c>
      <c r="BO164" t="s">
        <v>83</v>
      </c>
      <c r="BP164" s="4" t="str">
        <f t="shared" si="112"/>
        <v>96950</v>
      </c>
      <c r="BQ164" t="s">
        <v>79</v>
      </c>
      <c r="BR164" t="str">
        <f>"13-1151.00"</f>
        <v>13-1151.00</v>
      </c>
      <c r="BS164" t="s">
        <v>1188</v>
      </c>
      <c r="BT164" s="3">
        <v>18.420000000000002</v>
      </c>
      <c r="BU164" t="s">
        <v>80</v>
      </c>
      <c r="BV164" t="s">
        <v>90</v>
      </c>
      <c r="BW164" t="s">
        <v>92</v>
      </c>
      <c r="BZ164" s="1">
        <v>45107</v>
      </c>
    </row>
    <row r="165" spans="1:78" ht="15" customHeight="1" x14ac:dyDescent="0.25">
      <c r="A165" t="s">
        <v>1189</v>
      </c>
      <c r="B165" t="s">
        <v>94</v>
      </c>
      <c r="C165" s="1">
        <v>44858</v>
      </c>
      <c r="D165" s="1">
        <v>44901</v>
      </c>
      <c r="H165" t="s">
        <v>78</v>
      </c>
      <c r="I165" t="str">
        <f>"BISCOCHO "</f>
        <v xml:space="preserve">BISCOCHO </v>
      </c>
      <c r="J165" t="str">
        <f>"DENNIS "</f>
        <v xml:space="preserve">DENNIS </v>
      </c>
      <c r="K165" t="str">
        <f>"ALCANTARA "</f>
        <v xml:space="preserve">ALCANTARA </v>
      </c>
      <c r="L165" t="str">
        <f>"PRESIDENT "</f>
        <v xml:space="preserve">PRESIDENT </v>
      </c>
      <c r="M165" t="str">
        <f>"P.O BOX 500728"</f>
        <v>P.O BOX 500728</v>
      </c>
      <c r="N165" t="str">
        <f>"SUITE #203, SAIPAN PLAZA BLDG, GUALO RAI "</f>
        <v xml:space="preserve">SUITE #203, SAIPAN PLAZA BLDG, GUALO RAI </v>
      </c>
      <c r="O165" t="str">
        <f>"SAIPAN "</f>
        <v xml:space="preserve">SAIPAN </v>
      </c>
      <c r="P165" t="str">
        <f t="shared" si="113"/>
        <v>MP</v>
      </c>
      <c r="Q165" s="4" t="str">
        <f t="shared" si="114"/>
        <v>96950</v>
      </c>
      <c r="R165" t="str">
        <f t="shared" si="90"/>
        <v>UNITED STATES OF AMERICA</v>
      </c>
      <c r="S165" t="str">
        <f>""</f>
        <v/>
      </c>
      <c r="T165" s="5" t="str">
        <f>"16704843028"</f>
        <v>16704843028</v>
      </c>
      <c r="U165" t="str">
        <f>""</f>
        <v/>
      </c>
      <c r="V165" s="5" t="str">
        <f>""</f>
        <v/>
      </c>
      <c r="W165" t="str">
        <f>"firstalarm.670@hotmail.com"</f>
        <v>firstalarm.670@hotmail.com</v>
      </c>
      <c r="X165" t="str">
        <f>"FIRST ALARM COMPANY "</f>
        <v xml:space="preserve">FIRST ALARM COMPANY </v>
      </c>
      <c r="Y165" t="str">
        <f>""</f>
        <v/>
      </c>
      <c r="Z165" t="str">
        <f>"P.O BOX 500728"</f>
        <v>P.O BOX 500728</v>
      </c>
      <c r="AA165" t="str">
        <f>"SUITE #203, SAIPAN PLAZA BLDG, GUALO RAI "</f>
        <v xml:space="preserve">SUITE #203, SAIPAN PLAZA BLDG, GUALO RAI </v>
      </c>
      <c r="AB165" t="str">
        <f>"SAIPAN "</f>
        <v xml:space="preserve">SAIPAN </v>
      </c>
      <c r="AC165" t="str">
        <f t="shared" si="91"/>
        <v>MP</v>
      </c>
      <c r="AD165" t="str">
        <f t="shared" si="109"/>
        <v>96950</v>
      </c>
      <c r="AE165" t="str">
        <f t="shared" si="92"/>
        <v>UNITED STATES OF AMERICA</v>
      </c>
      <c r="AF165" t="str">
        <f>""</f>
        <v/>
      </c>
      <c r="AG165" s="4" t="str">
        <f>"16704843028"</f>
        <v>16704843028</v>
      </c>
      <c r="AH165" t="str">
        <f>""</f>
        <v/>
      </c>
      <c r="AI165" t="str">
        <f>"42361"</f>
        <v>42361</v>
      </c>
      <c r="AJ165" t="s">
        <v>79</v>
      </c>
      <c r="AK165" t="s">
        <v>79</v>
      </c>
      <c r="AL165" t="s">
        <v>80</v>
      </c>
      <c r="AM165" t="s">
        <v>79</v>
      </c>
      <c r="AP165" t="str">
        <f>"ELECTRICIAN "</f>
        <v xml:space="preserve">ELECTRICIAN </v>
      </c>
      <c r="AQ165" t="str">
        <f>"47-2111.00"</f>
        <v>47-2111.00</v>
      </c>
      <c r="AR165" t="str">
        <f>"Electricians"</f>
        <v>Electricians</v>
      </c>
      <c r="AS165" t="str">
        <f>"GENERAL MANAGER"</f>
        <v>GENERAL MANAGER</v>
      </c>
      <c r="AT165" t="s">
        <v>79</v>
      </c>
      <c r="AU165" t="str">
        <f>""</f>
        <v/>
      </c>
      <c r="AV165" t="str">
        <f>""</f>
        <v/>
      </c>
      <c r="AW165" t="s">
        <v>79</v>
      </c>
      <c r="AX165" t="str">
        <f>""</f>
        <v/>
      </c>
      <c r="AY165" t="s">
        <v>84</v>
      </c>
      <c r="BA165" t="s">
        <v>80</v>
      </c>
      <c r="BB165" t="s">
        <v>79</v>
      </c>
      <c r="BD165" t="s">
        <v>79</v>
      </c>
      <c r="BG165" t="s">
        <v>82</v>
      </c>
      <c r="BH165">
        <v>12</v>
      </c>
      <c r="BI165" t="s">
        <v>179</v>
      </c>
      <c r="BJ165" s="2" t="s">
        <v>1190</v>
      </c>
      <c r="BK165" t="str">
        <f>"P.O BOX 500728"</f>
        <v>P.O BOX 500728</v>
      </c>
      <c r="BL165" t="str">
        <f>"SUITE #203, SAIPAN PLAZA BLDG, GUALO RAI "</f>
        <v xml:space="preserve">SUITE #203, SAIPAN PLAZA BLDG, GUALO RAI </v>
      </c>
      <c r="BM165" t="str">
        <f>"SAIPAN "</f>
        <v xml:space="preserve">SAIPAN </v>
      </c>
      <c r="BO165" t="s">
        <v>83</v>
      </c>
      <c r="BP165" s="4" t="str">
        <f t="shared" si="112"/>
        <v>96950</v>
      </c>
      <c r="BQ165" t="s">
        <v>79</v>
      </c>
      <c r="BR165" t="str">
        <f>"47-2111.00"</f>
        <v>47-2111.00</v>
      </c>
      <c r="BS165" t="s">
        <v>181</v>
      </c>
      <c r="BT165" s="3">
        <v>11.67</v>
      </c>
      <c r="BU165" t="s">
        <v>80</v>
      </c>
      <c r="BV165" t="s">
        <v>90</v>
      </c>
      <c r="BW165" t="s">
        <v>92</v>
      </c>
      <c r="BZ165" s="1">
        <v>45107</v>
      </c>
    </row>
    <row r="166" spans="1:78" ht="15" customHeight="1" x14ac:dyDescent="0.25">
      <c r="A166" t="s">
        <v>1191</v>
      </c>
      <c r="B166" t="s">
        <v>94</v>
      </c>
      <c r="C166" s="1">
        <v>44858</v>
      </c>
      <c r="D166" s="1">
        <v>44901</v>
      </c>
      <c r="H166" t="s">
        <v>78</v>
      </c>
      <c r="I166" t="str">
        <f>"OH"</f>
        <v>OH</v>
      </c>
      <c r="J166" t="str">
        <f>"JOON HWAN"</f>
        <v>JOON HWAN</v>
      </c>
      <c r="K166" t="str">
        <f>""</f>
        <v/>
      </c>
      <c r="L166" t="str">
        <f>"AGENT"</f>
        <v>AGENT</v>
      </c>
      <c r="M166" t="str">
        <f>"NAURU LOOP, SUSUPE"</f>
        <v>NAURU LOOP, SUSUPE</v>
      </c>
      <c r="N166" t="str">
        <f>"PO BOX 10000 PMB 373"</f>
        <v>PO BOX 10000 PMB 373</v>
      </c>
      <c r="O166" t="str">
        <f t="shared" ref="O166:O179" si="115">"SAIPAN"</f>
        <v>SAIPAN</v>
      </c>
      <c r="P166" t="str">
        <f t="shared" si="113"/>
        <v>MP</v>
      </c>
      <c r="Q166" s="4" t="str">
        <f t="shared" si="114"/>
        <v>96950</v>
      </c>
      <c r="R166" t="str">
        <f t="shared" si="90"/>
        <v>UNITED STATES OF AMERICA</v>
      </c>
      <c r="S166" t="str">
        <f>"N/A"</f>
        <v>N/A</v>
      </c>
      <c r="T166" s="5" t="str">
        <f>"16702353010"</f>
        <v>16702353010</v>
      </c>
      <c r="U166" t="str">
        <f>""</f>
        <v/>
      </c>
      <c r="V166" s="5" t="str">
        <f>""</f>
        <v/>
      </c>
      <c r="W166" t="str">
        <f>"hps@hanmisaipan.com"</f>
        <v>hps@hanmisaipan.com</v>
      </c>
      <c r="X166" t="str">
        <f>"HAN KYUNG CORPORATION"</f>
        <v>HAN KYUNG CORPORATION</v>
      </c>
      <c r="Y166" t="str">
        <f>"KOREAN RESTAURANT JANG WON"</f>
        <v>KOREAN RESTAURANT JANG WON</v>
      </c>
      <c r="Z166" t="str">
        <f>"COFFEE TREE MALL, GARAPAN"</f>
        <v>COFFEE TREE MALL, GARAPAN</v>
      </c>
      <c r="AA166" t="str">
        <f>"PO BOX 504337"</f>
        <v>PO BOX 504337</v>
      </c>
      <c r="AB166" t="str">
        <f>"SAIPAN"</f>
        <v>SAIPAN</v>
      </c>
      <c r="AC166" t="str">
        <f t="shared" si="91"/>
        <v>MP</v>
      </c>
      <c r="AD166" t="str">
        <f t="shared" si="109"/>
        <v>96950</v>
      </c>
      <c r="AE166" t="str">
        <f t="shared" si="92"/>
        <v>UNITED STATES OF AMERICA</v>
      </c>
      <c r="AF166" t="str">
        <f>"N/A"</f>
        <v>N/A</v>
      </c>
      <c r="AG166" s="4" t="str">
        <f>"16702352352"</f>
        <v>16702352352</v>
      </c>
      <c r="AH166" t="str">
        <f>""</f>
        <v/>
      </c>
      <c r="AI166" t="str">
        <f>"722511"</f>
        <v>722511</v>
      </c>
      <c r="AJ166" t="s">
        <v>79</v>
      </c>
      <c r="AK166" t="s">
        <v>79</v>
      </c>
      <c r="AL166" t="s">
        <v>80</v>
      </c>
      <c r="AM166" t="s">
        <v>79</v>
      </c>
      <c r="AP166" t="str">
        <f>"COOK (KOREAN CUISINE)"</f>
        <v>COOK (KOREAN CUISINE)</v>
      </c>
      <c r="AQ166" t="str">
        <f>"35-2014.00"</f>
        <v>35-2014.00</v>
      </c>
      <c r="AR166" t="str">
        <f>"Cooks, Restaurant"</f>
        <v>Cooks, Restaurant</v>
      </c>
      <c r="AS166" t="str">
        <f>"RESTAURANT MANAGER"</f>
        <v>RESTAURANT MANAGER</v>
      </c>
      <c r="AT166" t="s">
        <v>79</v>
      </c>
      <c r="AU166" t="str">
        <f>""</f>
        <v/>
      </c>
      <c r="AV166" t="str">
        <f>""</f>
        <v/>
      </c>
      <c r="AW166" t="s">
        <v>79</v>
      </c>
      <c r="AX166" t="str">
        <f>""</f>
        <v/>
      </c>
      <c r="AY166" t="s">
        <v>84</v>
      </c>
      <c r="BA166" t="s">
        <v>1192</v>
      </c>
      <c r="BB166" t="s">
        <v>79</v>
      </c>
      <c r="BD166" t="s">
        <v>79</v>
      </c>
      <c r="BG166" t="s">
        <v>82</v>
      </c>
      <c r="BH166">
        <v>12</v>
      </c>
      <c r="BI166" t="s">
        <v>1193</v>
      </c>
      <c r="BJ166" t="s">
        <v>1194</v>
      </c>
      <c r="BK166" t="str">
        <f>"COFFEE TREE MALL, GARAPAN"</f>
        <v>COFFEE TREE MALL, GARAPAN</v>
      </c>
      <c r="BL166" t="str">
        <f>"PO BOX 504337"</f>
        <v>PO BOX 504337</v>
      </c>
      <c r="BM166" t="str">
        <f t="shared" ref="BM166:BM179" si="116">"SAIPAN"</f>
        <v>SAIPAN</v>
      </c>
      <c r="BO166" t="s">
        <v>83</v>
      </c>
      <c r="BP166" s="4" t="str">
        <f t="shared" si="112"/>
        <v>96950</v>
      </c>
      <c r="BQ166" t="s">
        <v>79</v>
      </c>
      <c r="BR166" t="str">
        <f>"35-2014.00"</f>
        <v>35-2014.00</v>
      </c>
      <c r="BS166" t="s">
        <v>117</v>
      </c>
      <c r="BT166" s="3">
        <v>8.5500000000000007</v>
      </c>
      <c r="BU166" t="s">
        <v>80</v>
      </c>
      <c r="BV166" t="s">
        <v>90</v>
      </c>
      <c r="BW166" t="s">
        <v>92</v>
      </c>
      <c r="BZ166" s="1">
        <v>45107</v>
      </c>
    </row>
    <row r="167" spans="1:78" ht="15" customHeight="1" x14ac:dyDescent="0.25">
      <c r="A167" t="s">
        <v>1195</v>
      </c>
      <c r="B167" t="s">
        <v>94</v>
      </c>
      <c r="C167" s="1">
        <v>44858</v>
      </c>
      <c r="D167" s="1">
        <v>44901</v>
      </c>
      <c r="H167" t="s">
        <v>78</v>
      </c>
      <c r="I167" t="str">
        <f>"ADA"</f>
        <v>ADA</v>
      </c>
      <c r="J167" t="str">
        <f>"FRANCISCO"</f>
        <v>FRANCISCO</v>
      </c>
      <c r="K167" t="str">
        <f>"SEMAN"</f>
        <v>SEMAN</v>
      </c>
      <c r="L167" t="str">
        <f>"DIRECTOR OF HUMAN RESOURCES"</f>
        <v>DIRECTOR OF HUMAN RESOURCES</v>
      </c>
      <c r="M167" t="str">
        <f>"BRIGIDA ST., BEACH ROAD"</f>
        <v>BRIGIDA ST., BEACH ROAD</v>
      </c>
      <c r="N167" t="str">
        <f>"CHALAN KANOA"</f>
        <v>CHALAN KANOA</v>
      </c>
      <c r="O167" t="str">
        <f t="shared" si="115"/>
        <v>SAIPAN</v>
      </c>
      <c r="P167" t="str">
        <f t="shared" si="113"/>
        <v>MP</v>
      </c>
      <c r="Q167" s="4" t="str">
        <f t="shared" si="114"/>
        <v>96950</v>
      </c>
      <c r="R167" t="str">
        <f t="shared" si="90"/>
        <v>UNITED STATES OF AMERICA</v>
      </c>
      <c r="S167" t="str">
        <f>"MP"</f>
        <v>MP</v>
      </c>
      <c r="T167" s="5" t="str">
        <f>"16702341795"</f>
        <v>16702341795</v>
      </c>
      <c r="U167" t="str">
        <f>""</f>
        <v/>
      </c>
      <c r="V167" s="5" t="str">
        <f>""</f>
        <v/>
      </c>
      <c r="W167" t="str">
        <f>"hrtjsaipan@triplejsaipan.com"</f>
        <v>hrtjsaipan@triplejsaipan.com</v>
      </c>
      <c r="X167" t="str">
        <f>"Triple J Saipan Inc. "</f>
        <v xml:space="preserve">Triple J Saipan Inc. </v>
      </c>
      <c r="Y167" t="str">
        <f>""</f>
        <v/>
      </c>
      <c r="Z167" t="str">
        <f>"Brigada St., Beach Road"</f>
        <v>Brigada St., Beach Road</v>
      </c>
      <c r="AA167" t="str">
        <f>"Chalan Kanoa, P.O. Box 500487"</f>
        <v>Chalan Kanoa, P.O. Box 500487</v>
      </c>
      <c r="AB167" t="str">
        <f>"Saipan"</f>
        <v>Saipan</v>
      </c>
      <c r="AC167" t="str">
        <f t="shared" si="91"/>
        <v>MP</v>
      </c>
      <c r="AD167" t="str">
        <f t="shared" si="109"/>
        <v>96950</v>
      </c>
      <c r="AE167" t="str">
        <f t="shared" si="92"/>
        <v>UNITED STATES OF AMERICA</v>
      </c>
      <c r="AF167" t="str">
        <f>"MP"</f>
        <v>MP</v>
      </c>
      <c r="AG167" s="4" t="str">
        <f>"16702341795"</f>
        <v>16702341795</v>
      </c>
      <c r="AH167" t="str">
        <f>""</f>
        <v/>
      </c>
      <c r="AI167" t="str">
        <f>"551114"</f>
        <v>551114</v>
      </c>
      <c r="AJ167" t="s">
        <v>79</v>
      </c>
      <c r="AK167" t="s">
        <v>79</v>
      </c>
      <c r="AL167" t="s">
        <v>80</v>
      </c>
      <c r="AM167" t="s">
        <v>79</v>
      </c>
      <c r="AP167" t="str">
        <f>"Accountant"</f>
        <v>Accountant</v>
      </c>
      <c r="AQ167" t="str">
        <f>"13-2011.00"</f>
        <v>13-2011.00</v>
      </c>
      <c r="AR167" t="str">
        <f>"Accountants and Auditors"</f>
        <v>Accountants and Auditors</v>
      </c>
      <c r="AS167" t="str">
        <f>"Corporate Controller"</f>
        <v>Corporate Controller</v>
      </c>
      <c r="AT167" t="s">
        <v>79</v>
      </c>
      <c r="AU167" t="str">
        <f>""</f>
        <v/>
      </c>
      <c r="AV167" t="str">
        <f>""</f>
        <v/>
      </c>
      <c r="AW167" t="s">
        <v>79</v>
      </c>
      <c r="AX167" t="str">
        <f>""</f>
        <v/>
      </c>
      <c r="AY167" t="s">
        <v>95</v>
      </c>
      <c r="BA167" t="s">
        <v>130</v>
      </c>
      <c r="BB167" t="s">
        <v>79</v>
      </c>
      <c r="BD167" t="s">
        <v>79</v>
      </c>
      <c r="BG167" t="s">
        <v>82</v>
      </c>
      <c r="BH167">
        <v>36</v>
      </c>
      <c r="BI167" t="s">
        <v>131</v>
      </c>
      <c r="BJ167" t="s">
        <v>1196</v>
      </c>
      <c r="BK167" t="str">
        <f>"BRIGIDA ST., BEACH ROAD"</f>
        <v>BRIGIDA ST., BEACH ROAD</v>
      </c>
      <c r="BL167" t="str">
        <f>"CHALAN KANOA P.O. BOX 500487"</f>
        <v>CHALAN KANOA P.O. BOX 500487</v>
      </c>
      <c r="BM167" t="str">
        <f t="shared" si="116"/>
        <v>SAIPAN</v>
      </c>
      <c r="BO167" t="s">
        <v>83</v>
      </c>
      <c r="BP167" s="4" t="str">
        <f t="shared" si="112"/>
        <v>96950</v>
      </c>
      <c r="BQ167" t="s">
        <v>79</v>
      </c>
      <c r="BR167" t="str">
        <f>"13-2011.00"</f>
        <v>13-2011.00</v>
      </c>
      <c r="BS167" t="s">
        <v>133</v>
      </c>
      <c r="BT167" s="3">
        <v>16.190000000000001</v>
      </c>
      <c r="BU167" t="s">
        <v>80</v>
      </c>
      <c r="BV167" t="s">
        <v>90</v>
      </c>
      <c r="BW167" t="s">
        <v>92</v>
      </c>
      <c r="BZ167" s="1">
        <v>45107</v>
      </c>
    </row>
    <row r="168" spans="1:78" ht="15" customHeight="1" x14ac:dyDescent="0.25">
      <c r="A168" t="s">
        <v>1197</v>
      </c>
      <c r="B168" t="s">
        <v>94</v>
      </c>
      <c r="C168" s="1">
        <v>44858</v>
      </c>
      <c r="D168" s="1">
        <v>44901</v>
      </c>
      <c r="H168" t="s">
        <v>78</v>
      </c>
      <c r="I168" t="str">
        <f>"FLORENDO"</f>
        <v>FLORENDO</v>
      </c>
      <c r="J168" t="str">
        <f>"NUMIDO"</f>
        <v>NUMIDO</v>
      </c>
      <c r="K168" t="str">
        <f>"RIMANDO"</f>
        <v>RIMANDO</v>
      </c>
      <c r="L168" t="str">
        <f>"PRESIDENT AND GENERAL MANAGER"</f>
        <v>PRESIDENT AND GENERAL MANAGER</v>
      </c>
      <c r="M168" t="str">
        <f>"COR. ENRIQUE ST., TEXAS RD. DIST. 2"</f>
        <v>COR. ENRIQUE ST., TEXAS RD. DIST. 2</v>
      </c>
      <c r="N168" t="str">
        <f>"CHALAN KANOA"</f>
        <v>CHALAN KANOA</v>
      </c>
      <c r="O168" t="str">
        <f t="shared" si="115"/>
        <v>SAIPAN</v>
      </c>
      <c r="P168" t="str">
        <f t="shared" si="113"/>
        <v>MP</v>
      </c>
      <c r="Q168" s="4" t="str">
        <f t="shared" si="114"/>
        <v>96950</v>
      </c>
      <c r="R168" t="str">
        <f t="shared" si="90"/>
        <v>UNITED STATES OF AMERICA</v>
      </c>
      <c r="S168" t="str">
        <f>""</f>
        <v/>
      </c>
      <c r="T168" s="5" t="str">
        <f>"16702356238"</f>
        <v>16702356238</v>
      </c>
      <c r="U168" t="str">
        <f>""</f>
        <v/>
      </c>
      <c r="V168" s="5" t="str">
        <f>""</f>
        <v/>
      </c>
      <c r="W168" t="str">
        <f>"cleanworldcorp2009@gmail.com"</f>
        <v>cleanworldcorp2009@gmail.com</v>
      </c>
      <c r="X168" t="str">
        <f>"CLEAN WORLD CORPORATION"</f>
        <v>CLEAN WORLD CORPORATION</v>
      </c>
      <c r="Y168" t="str">
        <f>""</f>
        <v/>
      </c>
      <c r="Z168" t="str">
        <f>"COR. ENRIQUE ST., TEXAS RD. DIST. 2"</f>
        <v>COR. ENRIQUE ST., TEXAS RD. DIST. 2</v>
      </c>
      <c r="AA168" t="str">
        <f>"CHALAN KANOA"</f>
        <v>CHALAN KANOA</v>
      </c>
      <c r="AB168" t="str">
        <f t="shared" ref="AB168:AB181" si="117">"SAIPAN"</f>
        <v>SAIPAN</v>
      </c>
      <c r="AC168" t="str">
        <f t="shared" si="91"/>
        <v>MP</v>
      </c>
      <c r="AD168" t="str">
        <f t="shared" si="109"/>
        <v>96950</v>
      </c>
      <c r="AE168" t="str">
        <f t="shared" si="92"/>
        <v>UNITED STATES OF AMERICA</v>
      </c>
      <c r="AF168" t="str">
        <f>""</f>
        <v/>
      </c>
      <c r="AG168" s="4" t="str">
        <f>"16702356238"</f>
        <v>16702356238</v>
      </c>
      <c r="AH168" t="str">
        <f>""</f>
        <v/>
      </c>
      <c r="AI168" t="str">
        <f>"56132"</f>
        <v>56132</v>
      </c>
      <c r="AJ168" t="s">
        <v>79</v>
      </c>
      <c r="AK168" t="s">
        <v>79</v>
      </c>
      <c r="AL168" t="s">
        <v>80</v>
      </c>
      <c r="AM168" t="s">
        <v>79</v>
      </c>
      <c r="AP168" t="str">
        <f>"JANITOR AND CLEANER"</f>
        <v>JANITOR AND CLEANER</v>
      </c>
      <c r="AQ168" t="str">
        <f>"37-2011.00"</f>
        <v>37-2011.00</v>
      </c>
      <c r="AR168" t="str">
        <f>"Janitors and Cleaners, Except Maids and Housekeeping Cleaners"</f>
        <v>Janitors and Cleaners, Except Maids and Housekeeping Cleaners</v>
      </c>
      <c r="AS168" t="str">
        <f>""</f>
        <v/>
      </c>
      <c r="AT168" t="s">
        <v>79</v>
      </c>
      <c r="AU168" t="str">
        <f>""</f>
        <v/>
      </c>
      <c r="AV168" t="str">
        <f>""</f>
        <v/>
      </c>
      <c r="AW168" t="s">
        <v>79</v>
      </c>
      <c r="AX168" t="str">
        <f>""</f>
        <v/>
      </c>
      <c r="AY168" t="s">
        <v>84</v>
      </c>
      <c r="BA168" t="s">
        <v>80</v>
      </c>
      <c r="BB168" t="s">
        <v>79</v>
      </c>
      <c r="BD168" t="s">
        <v>79</v>
      </c>
      <c r="BG168" t="s">
        <v>82</v>
      </c>
      <c r="BH168">
        <v>3</v>
      </c>
      <c r="BI168" t="s">
        <v>1198</v>
      </c>
      <c r="BJ168" s="2" t="s">
        <v>1199</v>
      </c>
      <c r="BK168" t="str">
        <f>"TUN ANTONIO APA RD., FINASISU LANE, DANDAN"</f>
        <v>TUN ANTONIO APA RD., FINASISU LANE, DANDAN</v>
      </c>
      <c r="BL168" t="str">
        <f>""</f>
        <v/>
      </c>
      <c r="BM168" t="str">
        <f t="shared" si="116"/>
        <v>SAIPAN</v>
      </c>
      <c r="BO168" t="s">
        <v>83</v>
      </c>
      <c r="BP168" s="4" t="str">
        <f t="shared" si="112"/>
        <v>96950</v>
      </c>
      <c r="BQ168" t="s">
        <v>79</v>
      </c>
      <c r="BR168" t="str">
        <f>"37-2011.00"</f>
        <v>37-2011.00</v>
      </c>
      <c r="BS168" t="s">
        <v>313</v>
      </c>
      <c r="BT168" s="3">
        <v>7.99</v>
      </c>
      <c r="BU168" t="s">
        <v>80</v>
      </c>
      <c r="BV168" t="s">
        <v>90</v>
      </c>
      <c r="BW168" t="s">
        <v>92</v>
      </c>
      <c r="BZ168" s="1">
        <v>45107</v>
      </c>
    </row>
    <row r="169" spans="1:78" ht="15" customHeight="1" x14ac:dyDescent="0.25">
      <c r="A169" t="s">
        <v>1200</v>
      </c>
      <c r="B169" t="s">
        <v>94</v>
      </c>
      <c r="C169" s="1">
        <v>44858</v>
      </c>
      <c r="D169" s="1">
        <v>44901</v>
      </c>
      <c r="H169" t="s">
        <v>78</v>
      </c>
      <c r="I169" t="str">
        <f>"GAMAB"</f>
        <v>GAMAB</v>
      </c>
      <c r="J169" t="str">
        <f>"GARIJO FRANCIS"</f>
        <v>GARIJO FRANCIS</v>
      </c>
      <c r="K169" t="str">
        <f>"DIMACULANGAN"</f>
        <v>DIMACULANGAN</v>
      </c>
      <c r="L169" t="str">
        <f>"OWNER/PROPRIETOR"</f>
        <v>OWNER/PROPRIETOR</v>
      </c>
      <c r="M169" t="str">
        <f>"PMB 276, BOX 10003 "</f>
        <v xml:space="preserve">PMB 276, BOX 10003 </v>
      </c>
      <c r="N169" t="str">
        <f>""</f>
        <v/>
      </c>
      <c r="O169" t="str">
        <f t="shared" si="115"/>
        <v>SAIPAN</v>
      </c>
      <c r="P169" t="str">
        <f t="shared" si="113"/>
        <v>MP</v>
      </c>
      <c r="Q169" s="4" t="str">
        <f t="shared" si="114"/>
        <v>96950</v>
      </c>
      <c r="R169" t="str">
        <f t="shared" si="90"/>
        <v>UNITED STATES OF AMERICA</v>
      </c>
      <c r="S169" t="str">
        <f>"N/A"</f>
        <v>N/A</v>
      </c>
      <c r="T169" s="5" t="str">
        <f>"16702345593"</f>
        <v>16702345593</v>
      </c>
      <c r="U169" t="str">
        <f>""</f>
        <v/>
      </c>
      <c r="V169" s="5" t="str">
        <f>""</f>
        <v/>
      </c>
      <c r="W169" t="str">
        <f>"DESIGNFLOWERNGIFT123@GMAIL.COM"</f>
        <v>DESIGNFLOWERNGIFT123@GMAIL.COM</v>
      </c>
      <c r="X169" t="str">
        <f>"GARIJO FRANCIS D. GAMAB"</f>
        <v>GARIJO FRANCIS D. GAMAB</v>
      </c>
      <c r="Y169" t="str">
        <f>"DESIGN FLOWER AND GIFT SHOP; ONRA LIFE MEMORIALS"</f>
        <v>DESIGN FLOWER AND GIFT SHOP; ONRA LIFE MEMORIALS</v>
      </c>
      <c r="Z169" t="str">
        <f>"PMB 276, BOX 10003"</f>
        <v>PMB 276, BOX 10003</v>
      </c>
      <c r="AA169" t="str">
        <f>""</f>
        <v/>
      </c>
      <c r="AB169" t="str">
        <f t="shared" si="117"/>
        <v>SAIPAN</v>
      </c>
      <c r="AC169" t="str">
        <f t="shared" si="91"/>
        <v>MP</v>
      </c>
      <c r="AD169" t="str">
        <f t="shared" si="109"/>
        <v>96950</v>
      </c>
      <c r="AE169" t="str">
        <f t="shared" si="92"/>
        <v>UNITED STATES OF AMERICA</v>
      </c>
      <c r="AF169" t="str">
        <f>"N/A"</f>
        <v>N/A</v>
      </c>
      <c r="AG169" s="4" t="str">
        <f>"16702345593"</f>
        <v>16702345593</v>
      </c>
      <c r="AH169" t="str">
        <f>""</f>
        <v/>
      </c>
      <c r="AI169" t="str">
        <f>"453110"</f>
        <v>453110</v>
      </c>
      <c r="AJ169" t="s">
        <v>79</v>
      </c>
      <c r="AK169" t="s">
        <v>79</v>
      </c>
      <c r="AL169" t="s">
        <v>80</v>
      </c>
      <c r="AM169" t="s">
        <v>79</v>
      </c>
      <c r="AP169" t="str">
        <f>"ARCHITECTURAL DESIGNER "</f>
        <v xml:space="preserve">ARCHITECTURAL DESIGNER </v>
      </c>
      <c r="AQ169" t="str">
        <f>"17-3011.00"</f>
        <v>17-3011.00</v>
      </c>
      <c r="AR169" t="str">
        <f>"Architectural and Civil Drafters"</f>
        <v>Architectural and Civil Drafters</v>
      </c>
      <c r="AS169" t="str">
        <f>"OWNER"</f>
        <v>OWNER</v>
      </c>
      <c r="AT169" t="s">
        <v>79</v>
      </c>
      <c r="AU169" t="str">
        <f>""</f>
        <v/>
      </c>
      <c r="AV169" t="str">
        <f>""</f>
        <v/>
      </c>
      <c r="AW169" t="s">
        <v>79</v>
      </c>
      <c r="AX169" t="str">
        <f>""</f>
        <v/>
      </c>
      <c r="AY169" t="s">
        <v>95</v>
      </c>
      <c r="BA169" t="s">
        <v>1201</v>
      </c>
      <c r="BB169" t="s">
        <v>79</v>
      </c>
      <c r="BD169" t="s">
        <v>79</v>
      </c>
      <c r="BG169" t="s">
        <v>82</v>
      </c>
      <c r="BH169">
        <v>24</v>
      </c>
      <c r="BI169" t="s">
        <v>1202</v>
      </c>
      <c r="BJ169" t="s">
        <v>1203</v>
      </c>
      <c r="BK169" t="str">
        <f>"CABRERA CENTER COMPLEX, BEACH ROAD"</f>
        <v>CABRERA CENTER COMPLEX, BEACH ROAD</v>
      </c>
      <c r="BL169" t="str">
        <f>"GARAPAN"</f>
        <v>GARAPAN</v>
      </c>
      <c r="BM169" t="str">
        <f t="shared" si="116"/>
        <v>SAIPAN</v>
      </c>
      <c r="BO169" t="s">
        <v>83</v>
      </c>
      <c r="BP169" s="4" t="str">
        <f t="shared" si="112"/>
        <v>96950</v>
      </c>
      <c r="BQ169" t="s">
        <v>79</v>
      </c>
      <c r="BR169" t="str">
        <f>"17-3011.00"</f>
        <v>17-3011.00</v>
      </c>
      <c r="BS169" t="s">
        <v>714</v>
      </c>
      <c r="BT169" s="3">
        <v>16.75</v>
      </c>
      <c r="BU169" t="s">
        <v>80</v>
      </c>
      <c r="BV169" t="s">
        <v>90</v>
      </c>
      <c r="BW169" t="s">
        <v>92</v>
      </c>
      <c r="BZ169" s="1">
        <v>45107</v>
      </c>
    </row>
    <row r="170" spans="1:78" ht="15" customHeight="1" x14ac:dyDescent="0.25">
      <c r="A170" t="s">
        <v>1204</v>
      </c>
      <c r="B170" t="s">
        <v>94</v>
      </c>
      <c r="C170" s="1">
        <v>44858</v>
      </c>
      <c r="D170" s="1">
        <v>44901</v>
      </c>
      <c r="H170" t="s">
        <v>78</v>
      </c>
      <c r="I170" t="str">
        <f>"GAMAB"</f>
        <v>GAMAB</v>
      </c>
      <c r="J170" t="str">
        <f>"GARIJO FRANCIS"</f>
        <v>GARIJO FRANCIS</v>
      </c>
      <c r="K170" t="str">
        <f>"DIMACULANGAN"</f>
        <v>DIMACULANGAN</v>
      </c>
      <c r="L170" t="str">
        <f>"OWNER/PROPRIETOR"</f>
        <v>OWNER/PROPRIETOR</v>
      </c>
      <c r="M170" t="str">
        <f>"PMB 276, BOX 10003"</f>
        <v>PMB 276, BOX 10003</v>
      </c>
      <c r="N170" t="str">
        <f>""</f>
        <v/>
      </c>
      <c r="O170" t="str">
        <f t="shared" si="115"/>
        <v>SAIPAN</v>
      </c>
      <c r="P170" t="str">
        <f t="shared" si="113"/>
        <v>MP</v>
      </c>
      <c r="Q170" s="4" t="str">
        <f t="shared" si="114"/>
        <v>96950</v>
      </c>
      <c r="R170" t="str">
        <f t="shared" si="90"/>
        <v>UNITED STATES OF AMERICA</v>
      </c>
      <c r="S170" t="str">
        <f>"N/A"</f>
        <v>N/A</v>
      </c>
      <c r="T170" s="5" t="str">
        <f>"16702345593"</f>
        <v>16702345593</v>
      </c>
      <c r="U170" t="str">
        <f>""</f>
        <v/>
      </c>
      <c r="V170" s="5" t="str">
        <f>""</f>
        <v/>
      </c>
      <c r="W170" t="str">
        <f>"DESIGNFLOWERNGIFT123@GMAIL.COM"</f>
        <v>DESIGNFLOWERNGIFT123@GMAIL.COM</v>
      </c>
      <c r="X170" t="str">
        <f>"GARIJO FRANCIS D. GAMAB"</f>
        <v>GARIJO FRANCIS D. GAMAB</v>
      </c>
      <c r="Y170" t="str">
        <f>"DESIGN FLOWER AND GIFT SHOP; ONRA LIFE MEMORIALS"</f>
        <v>DESIGN FLOWER AND GIFT SHOP; ONRA LIFE MEMORIALS</v>
      </c>
      <c r="Z170" t="str">
        <f>"PMB 276, BOX 10003"</f>
        <v>PMB 276, BOX 10003</v>
      </c>
      <c r="AA170" t="str">
        <f>""</f>
        <v/>
      </c>
      <c r="AB170" t="str">
        <f t="shared" si="117"/>
        <v>SAIPAN</v>
      </c>
      <c r="AC170" t="str">
        <f t="shared" si="91"/>
        <v>MP</v>
      </c>
      <c r="AD170" t="str">
        <f t="shared" si="109"/>
        <v>96950</v>
      </c>
      <c r="AE170" t="str">
        <f t="shared" si="92"/>
        <v>UNITED STATES OF AMERICA</v>
      </c>
      <c r="AF170" t="str">
        <f>"N/A"</f>
        <v>N/A</v>
      </c>
      <c r="AG170" s="4" t="str">
        <f>"16702345593"</f>
        <v>16702345593</v>
      </c>
      <c r="AH170" t="str">
        <f>""</f>
        <v/>
      </c>
      <c r="AI170" t="str">
        <f>"453110"</f>
        <v>453110</v>
      </c>
      <c r="AJ170" t="s">
        <v>79</v>
      </c>
      <c r="AK170" t="s">
        <v>79</v>
      </c>
      <c r="AL170" t="s">
        <v>80</v>
      </c>
      <c r="AM170" t="s">
        <v>79</v>
      </c>
      <c r="AP170" t="str">
        <f>"COMPUTER USER SUPPORT SPECIALIST"</f>
        <v>COMPUTER USER SUPPORT SPECIALIST</v>
      </c>
      <c r="AQ170" t="str">
        <f>"15-1232.00"</f>
        <v>15-1232.00</v>
      </c>
      <c r="AR170" t="str">
        <f>"Computer User Support Specialists"</f>
        <v>Computer User Support Specialists</v>
      </c>
      <c r="AS170" t="str">
        <f>"OWNER"</f>
        <v>OWNER</v>
      </c>
      <c r="AT170" t="s">
        <v>79</v>
      </c>
      <c r="AU170" t="str">
        <f>""</f>
        <v/>
      </c>
      <c r="AV170" t="str">
        <f>""</f>
        <v/>
      </c>
      <c r="AW170" t="s">
        <v>79</v>
      </c>
      <c r="AX170" t="str">
        <f>""</f>
        <v/>
      </c>
      <c r="AY170" t="s">
        <v>95</v>
      </c>
      <c r="BA170" t="s">
        <v>1205</v>
      </c>
      <c r="BB170" t="s">
        <v>79</v>
      </c>
      <c r="BD170" t="s">
        <v>79</v>
      </c>
      <c r="BG170" t="s">
        <v>79</v>
      </c>
      <c r="BJ170" t="s">
        <v>1206</v>
      </c>
      <c r="BK170" t="str">
        <f>"CABRERA CENTER COMPLEX, BEACH ROAD"</f>
        <v>CABRERA CENTER COMPLEX, BEACH ROAD</v>
      </c>
      <c r="BL170" t="str">
        <f>"GARAPAN"</f>
        <v>GARAPAN</v>
      </c>
      <c r="BM170" t="str">
        <f t="shared" si="116"/>
        <v>SAIPAN</v>
      </c>
      <c r="BO170" t="s">
        <v>83</v>
      </c>
      <c r="BP170" s="4" t="str">
        <f t="shared" si="112"/>
        <v>96950</v>
      </c>
      <c r="BQ170" t="s">
        <v>79</v>
      </c>
      <c r="BR170" t="str">
        <f>"15-1232.00"</f>
        <v>15-1232.00</v>
      </c>
      <c r="BS170" t="s">
        <v>678</v>
      </c>
      <c r="BT170" s="3">
        <v>12.78</v>
      </c>
      <c r="BU170" t="s">
        <v>80</v>
      </c>
      <c r="BV170" t="s">
        <v>90</v>
      </c>
      <c r="BW170" t="s">
        <v>92</v>
      </c>
      <c r="BZ170" s="1">
        <v>45107</v>
      </c>
    </row>
    <row r="171" spans="1:78" ht="15" customHeight="1" x14ac:dyDescent="0.25">
      <c r="A171" t="s">
        <v>1163</v>
      </c>
      <c r="B171" t="s">
        <v>94</v>
      </c>
      <c r="C171" s="1">
        <v>44857</v>
      </c>
      <c r="D171" s="1">
        <v>44901</v>
      </c>
      <c r="H171" t="s">
        <v>78</v>
      </c>
      <c r="I171" t="str">
        <f>"FARINAS"</f>
        <v>FARINAS</v>
      </c>
      <c r="J171" t="str">
        <f>"JEREMIAS JR."</f>
        <v>JEREMIAS JR.</v>
      </c>
      <c r="K171" t="str">
        <f>"CORPUZ"</f>
        <v>CORPUZ</v>
      </c>
      <c r="L171" t="str">
        <f>"PRESIDENT"</f>
        <v>PRESIDENT</v>
      </c>
      <c r="M171" t="str">
        <f>"P.O. BOX 502072, CRISPINA ST"</f>
        <v>P.O. BOX 502072, CRISPINA ST</v>
      </c>
      <c r="N171" t="str">
        <f>"CHALAN KANOA"</f>
        <v>CHALAN KANOA</v>
      </c>
      <c r="O171" t="str">
        <f t="shared" si="115"/>
        <v>SAIPAN</v>
      </c>
      <c r="P171" t="str">
        <f t="shared" si="113"/>
        <v>MP</v>
      </c>
      <c r="Q171" s="4" t="str">
        <f t="shared" si="114"/>
        <v>96950</v>
      </c>
      <c r="R171" t="str">
        <f t="shared" si="90"/>
        <v>UNITED STATES OF AMERICA</v>
      </c>
      <c r="S171" t="str">
        <f>"MP"</f>
        <v>MP</v>
      </c>
      <c r="T171" s="5" t="str">
        <f>"16702351096"</f>
        <v>16702351096</v>
      </c>
      <c r="U171" t="str">
        <f>""</f>
        <v/>
      </c>
      <c r="V171" s="5" t="str">
        <f>""</f>
        <v/>
      </c>
      <c r="W171" t="str">
        <f>"jfarg2015@gmail.com"</f>
        <v>jfarg2015@gmail.com</v>
      </c>
      <c r="X171" t="str">
        <f>"JFAR CORPORATION"</f>
        <v>JFAR CORPORATION</v>
      </c>
      <c r="Y171" t="str">
        <f>"STAR G ENTERPRISES"</f>
        <v>STAR G ENTERPRISES</v>
      </c>
      <c r="Z171" t="str">
        <f>"P.O. BOX 502072, CRISPINA ST"</f>
        <v>P.O. BOX 502072, CRISPINA ST</v>
      </c>
      <c r="AA171" t="str">
        <f>"CHALAN KANOA"</f>
        <v>CHALAN KANOA</v>
      </c>
      <c r="AB171" t="str">
        <f t="shared" si="117"/>
        <v>SAIPAN</v>
      </c>
      <c r="AC171" t="str">
        <f t="shared" si="91"/>
        <v>MP</v>
      </c>
      <c r="AD171" t="str">
        <f t="shared" si="109"/>
        <v>96950</v>
      </c>
      <c r="AE171" t="str">
        <f t="shared" si="92"/>
        <v>UNITED STATES OF AMERICA</v>
      </c>
      <c r="AF171" t="str">
        <f>"MP"</f>
        <v>MP</v>
      </c>
      <c r="AG171" s="4" t="str">
        <f>"16702351096"</f>
        <v>16702351096</v>
      </c>
      <c r="AH171" t="str">
        <f>""</f>
        <v/>
      </c>
      <c r="AI171" t="str">
        <f>"722515"</f>
        <v>722515</v>
      </c>
      <c r="AJ171" t="s">
        <v>79</v>
      </c>
      <c r="AK171" t="s">
        <v>79</v>
      </c>
      <c r="AL171" t="s">
        <v>80</v>
      </c>
      <c r="AM171" t="s">
        <v>79</v>
      </c>
      <c r="AP171" t="str">
        <f>"COOK"</f>
        <v>COOK</v>
      </c>
      <c r="AQ171" t="str">
        <f>"35-2015.00"</f>
        <v>35-2015.00</v>
      </c>
      <c r="AR171" t="str">
        <f>"Cooks, Short Order"</f>
        <v>Cooks, Short Order</v>
      </c>
      <c r="AS171" t="str">
        <f>"MANAGER"</f>
        <v>MANAGER</v>
      </c>
      <c r="AT171" t="s">
        <v>79</v>
      </c>
      <c r="AU171" t="str">
        <f>""</f>
        <v/>
      </c>
      <c r="AV171" t="str">
        <f>""</f>
        <v/>
      </c>
      <c r="AW171" t="s">
        <v>79</v>
      </c>
      <c r="AX171" t="str">
        <f>""</f>
        <v/>
      </c>
      <c r="AY171" t="s">
        <v>84</v>
      </c>
      <c r="BA171" t="s">
        <v>80</v>
      </c>
      <c r="BB171" t="s">
        <v>79</v>
      </c>
      <c r="BD171" t="s">
        <v>79</v>
      </c>
      <c r="BG171" t="s">
        <v>82</v>
      </c>
      <c r="BH171">
        <v>6</v>
      </c>
      <c r="BI171" t="s">
        <v>285</v>
      </c>
      <c r="BJ171" t="s">
        <v>1164</v>
      </c>
      <c r="BK171" t="str">
        <f>"CRISPINAS ST."</f>
        <v>CRISPINAS ST.</v>
      </c>
      <c r="BL171" t="str">
        <f>"CHALAN KANOA"</f>
        <v>CHALAN KANOA</v>
      </c>
      <c r="BM171" t="str">
        <f t="shared" si="116"/>
        <v>SAIPAN</v>
      </c>
      <c r="BO171" t="s">
        <v>83</v>
      </c>
      <c r="BP171" s="4" t="str">
        <f t="shared" si="112"/>
        <v>96950</v>
      </c>
      <c r="BQ171" t="s">
        <v>79</v>
      </c>
      <c r="BR171" t="str">
        <f>"35-2015.00"</f>
        <v>35-2015.00</v>
      </c>
      <c r="BS171" t="s">
        <v>1165</v>
      </c>
      <c r="BT171" s="3">
        <v>8.76</v>
      </c>
      <c r="BU171" t="s">
        <v>80</v>
      </c>
      <c r="BV171" t="s">
        <v>90</v>
      </c>
      <c r="BW171" t="s">
        <v>92</v>
      </c>
      <c r="BZ171" s="1">
        <v>45107</v>
      </c>
    </row>
    <row r="172" spans="1:78" ht="15" customHeight="1" x14ac:dyDescent="0.25">
      <c r="A172" t="s">
        <v>1166</v>
      </c>
      <c r="B172" t="s">
        <v>94</v>
      </c>
      <c r="C172" s="1">
        <v>44857</v>
      </c>
      <c r="D172" s="1">
        <v>44901</v>
      </c>
      <c r="H172" t="s">
        <v>78</v>
      </c>
      <c r="I172" t="str">
        <f>"FARINAS"</f>
        <v>FARINAS</v>
      </c>
      <c r="J172" t="str">
        <f>"JEREMIAS JR."</f>
        <v>JEREMIAS JR.</v>
      </c>
      <c r="K172" t="str">
        <f>"CORPUZ"</f>
        <v>CORPUZ</v>
      </c>
      <c r="L172" t="str">
        <f>"PRESIDENT"</f>
        <v>PRESIDENT</v>
      </c>
      <c r="M172" t="str">
        <f>"P.O. BOX 502072, CRISPINA ST"</f>
        <v>P.O. BOX 502072, CRISPINA ST</v>
      </c>
      <c r="N172" t="str">
        <f>"CHALAN KANOA"</f>
        <v>CHALAN KANOA</v>
      </c>
      <c r="O172" t="str">
        <f t="shared" si="115"/>
        <v>SAIPAN</v>
      </c>
      <c r="P172" t="str">
        <f t="shared" si="113"/>
        <v>MP</v>
      </c>
      <c r="Q172" s="4" t="str">
        <f t="shared" si="114"/>
        <v>96950</v>
      </c>
      <c r="R172" t="str">
        <f t="shared" si="90"/>
        <v>UNITED STATES OF AMERICA</v>
      </c>
      <c r="S172" t="str">
        <f>"MP"</f>
        <v>MP</v>
      </c>
      <c r="T172" s="5" t="str">
        <f>"16702351096"</f>
        <v>16702351096</v>
      </c>
      <c r="U172" t="str">
        <f>""</f>
        <v/>
      </c>
      <c r="V172" s="5" t="str">
        <f>""</f>
        <v/>
      </c>
      <c r="W172" t="str">
        <f>"jfarg2015@gmail.com"</f>
        <v>jfarg2015@gmail.com</v>
      </c>
      <c r="X172" t="str">
        <f>"JFAR CORPORATION"</f>
        <v>JFAR CORPORATION</v>
      </c>
      <c r="Y172" t="str">
        <f>"STAR G ENTERPRISES"</f>
        <v>STAR G ENTERPRISES</v>
      </c>
      <c r="Z172" t="str">
        <f>"P.O. BOX 502072, CRISPINA ST"</f>
        <v>P.O. BOX 502072, CRISPINA ST</v>
      </c>
      <c r="AA172" t="str">
        <f>"CHALAN KANOA"</f>
        <v>CHALAN KANOA</v>
      </c>
      <c r="AB172" t="str">
        <f t="shared" si="117"/>
        <v>SAIPAN</v>
      </c>
      <c r="AC172" t="str">
        <f t="shared" si="91"/>
        <v>MP</v>
      </c>
      <c r="AD172" t="str">
        <f t="shared" si="109"/>
        <v>96950</v>
      </c>
      <c r="AE172" t="str">
        <f t="shared" si="92"/>
        <v>UNITED STATES OF AMERICA</v>
      </c>
      <c r="AF172" t="str">
        <f>"96950"</f>
        <v>96950</v>
      </c>
      <c r="AG172" s="4" t="str">
        <f>"16702351096"</f>
        <v>16702351096</v>
      </c>
      <c r="AH172" t="str">
        <f>""</f>
        <v/>
      </c>
      <c r="AI172" t="str">
        <f>"54121"</f>
        <v>54121</v>
      </c>
      <c r="AJ172" t="s">
        <v>79</v>
      </c>
      <c r="AK172" t="s">
        <v>79</v>
      </c>
      <c r="AL172" t="s">
        <v>80</v>
      </c>
      <c r="AM172" t="s">
        <v>79</v>
      </c>
      <c r="AP172" t="str">
        <f>"TAX PREPARER"</f>
        <v>TAX PREPARER</v>
      </c>
      <c r="AQ172" t="str">
        <f>"13-2082.00"</f>
        <v>13-2082.00</v>
      </c>
      <c r="AR172" t="str">
        <f>"Tax Preparers"</f>
        <v>Tax Preparers</v>
      </c>
      <c r="AS172" t="str">
        <f>"MANAGER"</f>
        <v>MANAGER</v>
      </c>
      <c r="AT172" t="s">
        <v>79</v>
      </c>
      <c r="AU172" t="str">
        <f>""</f>
        <v/>
      </c>
      <c r="AV172" t="str">
        <f>""</f>
        <v/>
      </c>
      <c r="AW172" t="s">
        <v>79</v>
      </c>
      <c r="AX172" t="str">
        <f>""</f>
        <v/>
      </c>
      <c r="AY172" t="s">
        <v>84</v>
      </c>
      <c r="BA172" t="s">
        <v>80</v>
      </c>
      <c r="BB172" t="s">
        <v>79</v>
      </c>
      <c r="BD172" t="s">
        <v>79</v>
      </c>
      <c r="BG172" t="s">
        <v>82</v>
      </c>
      <c r="BH172">
        <v>12</v>
      </c>
      <c r="BI172" t="s">
        <v>1167</v>
      </c>
      <c r="BJ172" t="s">
        <v>1168</v>
      </c>
      <c r="BK172" t="str">
        <f>"CRISPINA ST"</f>
        <v>CRISPINA ST</v>
      </c>
      <c r="BL172" t="str">
        <f>"CHALAN KANOA"</f>
        <v>CHALAN KANOA</v>
      </c>
      <c r="BM172" t="str">
        <f t="shared" si="116"/>
        <v>SAIPAN</v>
      </c>
      <c r="BO172" t="s">
        <v>83</v>
      </c>
      <c r="BP172" s="4" t="str">
        <f t="shared" si="112"/>
        <v>96950</v>
      </c>
      <c r="BQ172" t="s">
        <v>79</v>
      </c>
      <c r="BR172" t="str">
        <f>"13-2082.00"</f>
        <v>13-2082.00</v>
      </c>
      <c r="BS172" t="s">
        <v>1169</v>
      </c>
      <c r="BT172" s="3">
        <v>15.84</v>
      </c>
      <c r="BU172" t="s">
        <v>80</v>
      </c>
      <c r="BV172" t="s">
        <v>90</v>
      </c>
      <c r="BW172" t="s">
        <v>92</v>
      </c>
      <c r="BZ172" s="1">
        <v>45107</v>
      </c>
    </row>
    <row r="173" spans="1:78" ht="15" customHeight="1" x14ac:dyDescent="0.25">
      <c r="A173" t="s">
        <v>1177</v>
      </c>
      <c r="B173" t="s">
        <v>94</v>
      </c>
      <c r="C173" s="1">
        <v>44857</v>
      </c>
      <c r="D173" s="1">
        <v>44901</v>
      </c>
      <c r="H173" t="s">
        <v>78</v>
      </c>
      <c r="I173" t="str">
        <f>"LEE"</f>
        <v>LEE</v>
      </c>
      <c r="J173" t="str">
        <f>"DONGHWAN"</f>
        <v>DONGHWAN</v>
      </c>
      <c r="K173" t="str">
        <f>""</f>
        <v/>
      </c>
      <c r="L173" t="str">
        <f>"DIRECTOR OF HUMAN RESOURCES"</f>
        <v>DIRECTOR OF HUMAN RESOURCES</v>
      </c>
      <c r="M173" t="str">
        <f>"CHALAN PALE ARNOLD MAIN ROAD, SAN ROQUE"</f>
        <v>CHALAN PALE ARNOLD MAIN ROAD, SAN ROQUE</v>
      </c>
      <c r="N173" t="str">
        <f>"PO BOX 5152 CHRB"</f>
        <v>PO BOX 5152 CHRB</v>
      </c>
      <c r="O173" t="str">
        <f t="shared" si="115"/>
        <v>SAIPAN</v>
      </c>
      <c r="P173" t="str">
        <f t="shared" si="113"/>
        <v>MP</v>
      </c>
      <c r="Q173" s="4" t="str">
        <f t="shared" si="114"/>
        <v>96950</v>
      </c>
      <c r="R173" t="str">
        <f t="shared" si="90"/>
        <v>UNITED STATES OF AMERICA</v>
      </c>
      <c r="S173" t="str">
        <f>""</f>
        <v/>
      </c>
      <c r="T173" s="5" t="str">
        <f>"16703223311"</f>
        <v>16703223311</v>
      </c>
      <c r="U173" t="str">
        <f>"4503"</f>
        <v>4503</v>
      </c>
      <c r="V173" s="5" t="str">
        <f>""</f>
        <v/>
      </c>
      <c r="W173" t="str">
        <f>"LEE_DONGHWAN01@eland.co.kr"</f>
        <v>LEE_DONGHWAN01@eland.co.kr</v>
      </c>
      <c r="X173" t="str">
        <f>"MICRONESIA RESORT INC."</f>
        <v>MICRONESIA RESORT INC.</v>
      </c>
      <c r="Y173" t="str">
        <f>"KENSINGTON HOTEL SAIPAN"</f>
        <v>KENSINGTON HOTEL SAIPAN</v>
      </c>
      <c r="Z173" t="str">
        <f>"CHALAN PALE ARNOLD MAIN ROAD, SAN ROQUE"</f>
        <v>CHALAN PALE ARNOLD MAIN ROAD, SAN ROQUE</v>
      </c>
      <c r="AA173" t="str">
        <f>"PO BOX 5152 CHRB"</f>
        <v>PO BOX 5152 CHRB</v>
      </c>
      <c r="AB173" t="str">
        <f t="shared" si="117"/>
        <v>SAIPAN</v>
      </c>
      <c r="AC173" t="str">
        <f t="shared" si="91"/>
        <v>MP</v>
      </c>
      <c r="AD173" t="str">
        <f t="shared" si="109"/>
        <v>96950</v>
      </c>
      <c r="AE173" t="str">
        <f t="shared" si="92"/>
        <v>UNITED STATES OF AMERICA</v>
      </c>
      <c r="AF173" t="str">
        <f>""</f>
        <v/>
      </c>
      <c r="AG173" s="4" t="str">
        <f>"16703223311"</f>
        <v>16703223311</v>
      </c>
      <c r="AH173" t="str">
        <f>"4503"</f>
        <v>4503</v>
      </c>
      <c r="AI173" t="str">
        <f>"72111"</f>
        <v>72111</v>
      </c>
      <c r="AJ173" t="s">
        <v>79</v>
      </c>
      <c r="AK173" t="s">
        <v>79</v>
      </c>
      <c r="AL173" t="s">
        <v>80</v>
      </c>
      <c r="AM173" t="s">
        <v>79</v>
      </c>
      <c r="AP173" t="str">
        <f>"Landscaping Manager"</f>
        <v>Landscaping Manager</v>
      </c>
      <c r="AQ173" t="str">
        <f>"37-1012.00"</f>
        <v>37-1012.00</v>
      </c>
      <c r="AR173" t="str">
        <f>"First-Line Supervisors of Landscaping, Lawn Service, and Groundskeeping Workers"</f>
        <v>First-Line Supervisors of Landscaping, Lawn Service, and Groundskeeping Workers</v>
      </c>
      <c r="AS173" t="str">
        <f>"Director of Engineering"</f>
        <v>Director of Engineering</v>
      </c>
      <c r="AT173" t="s">
        <v>82</v>
      </c>
      <c r="AU173" t="str">
        <f>"10"</f>
        <v>10</v>
      </c>
      <c r="AV173" t="str">
        <f>"Subordinate"</f>
        <v>Subordinate</v>
      </c>
      <c r="AW173" t="s">
        <v>79</v>
      </c>
      <c r="AX173" t="str">
        <f>""</f>
        <v/>
      </c>
      <c r="AY173" t="s">
        <v>124</v>
      </c>
      <c r="BA173" t="s">
        <v>1178</v>
      </c>
      <c r="BB173" t="s">
        <v>79</v>
      </c>
      <c r="BD173" t="s">
        <v>79</v>
      </c>
      <c r="BG173" t="s">
        <v>82</v>
      </c>
      <c r="BH173">
        <v>24</v>
      </c>
      <c r="BI173" t="s">
        <v>1179</v>
      </c>
      <c r="BJ173" t="s">
        <v>1180</v>
      </c>
      <c r="BK173" t="str">
        <f>"CHALAN PALE ARNOLD MAIN ROAD, SAN ROQUE"</f>
        <v>CHALAN PALE ARNOLD MAIN ROAD, SAN ROQUE</v>
      </c>
      <c r="BL173" t="str">
        <f>"PO BOX 5152 CHRB"</f>
        <v>PO BOX 5152 CHRB</v>
      </c>
      <c r="BM173" t="str">
        <f t="shared" si="116"/>
        <v>SAIPAN</v>
      </c>
      <c r="BO173" t="s">
        <v>83</v>
      </c>
      <c r="BP173" s="4" t="str">
        <f t="shared" si="112"/>
        <v>96950</v>
      </c>
      <c r="BQ173" t="s">
        <v>79</v>
      </c>
      <c r="BR173" t="str">
        <f>"37-1012.00"</f>
        <v>37-1012.00</v>
      </c>
      <c r="BS173" t="s">
        <v>1029</v>
      </c>
      <c r="BT173" s="3">
        <v>10.14</v>
      </c>
      <c r="BU173" t="s">
        <v>80</v>
      </c>
      <c r="BV173" t="s">
        <v>90</v>
      </c>
      <c r="BW173" t="s">
        <v>92</v>
      </c>
      <c r="BZ173" s="1">
        <v>45107</v>
      </c>
    </row>
    <row r="174" spans="1:78" ht="15" customHeight="1" x14ac:dyDescent="0.25">
      <c r="A174" t="s">
        <v>1144</v>
      </c>
      <c r="B174" t="s">
        <v>94</v>
      </c>
      <c r="C174" s="1">
        <v>44855</v>
      </c>
      <c r="D174" s="1">
        <v>44901</v>
      </c>
      <c r="H174" t="s">
        <v>78</v>
      </c>
      <c r="I174" t="str">
        <f>"YUMUL"</f>
        <v>YUMUL</v>
      </c>
      <c r="J174" t="str">
        <f>"RAY"</f>
        <v>RAY</v>
      </c>
      <c r="K174" t="str">
        <f>"NARAJA"</f>
        <v>NARAJA</v>
      </c>
      <c r="L174" t="str">
        <f>"PRESIDENT"</f>
        <v>PRESIDENT</v>
      </c>
      <c r="M174" t="str">
        <f>"2nd Flr Yumul Bldg Msgr Guerrero Rd Chalan Kiya "</f>
        <v xml:space="preserve">2nd Flr Yumul Bldg Msgr Guerrero Rd Chalan Kiya </v>
      </c>
      <c r="N174" t="str">
        <f>""</f>
        <v/>
      </c>
      <c r="O174" t="str">
        <f t="shared" si="115"/>
        <v>SAIPAN</v>
      </c>
      <c r="P174" t="str">
        <f t="shared" si="113"/>
        <v>MP</v>
      </c>
      <c r="Q174" s="4" t="str">
        <f t="shared" si="114"/>
        <v>96950</v>
      </c>
      <c r="R174" t="str">
        <f t="shared" si="90"/>
        <v>UNITED STATES OF AMERICA</v>
      </c>
      <c r="S174" t="str">
        <f>""</f>
        <v/>
      </c>
      <c r="T174" s="5" t="str">
        <f>"16702333112"</f>
        <v>16702333112</v>
      </c>
      <c r="U174" t="str">
        <f>""</f>
        <v/>
      </c>
      <c r="V174" s="5" t="str">
        <f>""</f>
        <v/>
      </c>
      <c r="W174" t="str">
        <f>"ycocorporationlabor@yahoo.com"</f>
        <v>ycocorporationlabor@yahoo.com</v>
      </c>
      <c r="X174" t="str">
        <f>"YCO CORPORATION"</f>
        <v>YCO CORPORATION</v>
      </c>
      <c r="Y174" t="str">
        <f>""</f>
        <v/>
      </c>
      <c r="Z174" t="str">
        <f>"2nd Flr Yumul Bldg Msgr Guerrero Rd Chalan Kiya"</f>
        <v>2nd Flr Yumul Bldg Msgr Guerrero Rd Chalan Kiya</v>
      </c>
      <c r="AA174" t="str">
        <f>"PO Box 500932"</f>
        <v>PO Box 500932</v>
      </c>
      <c r="AB174" t="str">
        <f t="shared" si="117"/>
        <v>SAIPAN</v>
      </c>
      <c r="AC174" t="str">
        <f t="shared" si="91"/>
        <v>MP</v>
      </c>
      <c r="AD174" t="str">
        <f t="shared" ref="AD174:AD205" si="118">"96950"</f>
        <v>96950</v>
      </c>
      <c r="AE174" t="str">
        <f t="shared" si="92"/>
        <v>UNITED STATES OF AMERICA</v>
      </c>
      <c r="AF174" t="str">
        <f>""</f>
        <v/>
      </c>
      <c r="AG174" s="4" t="str">
        <f>"16702333112"</f>
        <v>16702333112</v>
      </c>
      <c r="AH174" t="str">
        <f>""</f>
        <v/>
      </c>
      <c r="AI174" t="str">
        <f>"452319"</f>
        <v>452319</v>
      </c>
      <c r="AJ174" t="s">
        <v>79</v>
      </c>
      <c r="AK174" t="s">
        <v>79</v>
      </c>
      <c r="AL174" t="s">
        <v>80</v>
      </c>
      <c r="AM174" t="s">
        <v>79</v>
      </c>
      <c r="AP174" t="str">
        <f>"ACCOUNTING ASSOCIATE"</f>
        <v>ACCOUNTING ASSOCIATE</v>
      </c>
      <c r="AQ174" t="str">
        <f>"43-3031.00"</f>
        <v>43-3031.00</v>
      </c>
      <c r="AR174" t="str">
        <f>"Bookkeeping, Accounting, and Auditing Clerks"</f>
        <v>Bookkeeping, Accounting, and Auditing Clerks</v>
      </c>
      <c r="AS174" t="str">
        <f>"OFFICE MANAGER"</f>
        <v>OFFICE MANAGER</v>
      </c>
      <c r="AT174" t="s">
        <v>82</v>
      </c>
      <c r="AU174" t="str">
        <f>"1"</f>
        <v>1</v>
      </c>
      <c r="AV174" t="str">
        <f>"Subordinate"</f>
        <v>Subordinate</v>
      </c>
      <c r="AW174" t="s">
        <v>79</v>
      </c>
      <c r="AX174" t="str">
        <f>""</f>
        <v/>
      </c>
      <c r="AY174" t="s">
        <v>84</v>
      </c>
      <c r="BA174" t="s">
        <v>80</v>
      </c>
      <c r="BB174" t="s">
        <v>79</v>
      </c>
      <c r="BD174" t="s">
        <v>79</v>
      </c>
      <c r="BG174" t="s">
        <v>82</v>
      </c>
      <c r="BH174">
        <v>24</v>
      </c>
      <c r="BI174" t="s">
        <v>1145</v>
      </c>
      <c r="BJ174" s="2" t="s">
        <v>1146</v>
      </c>
      <c r="BK174" t="str">
        <f>"2nd Flr Yumul Bldg Msgr Guerrero Rd Chalan Kiya"</f>
        <v>2nd Flr Yumul Bldg Msgr Guerrero Rd Chalan Kiya</v>
      </c>
      <c r="BL174" t="str">
        <f>""</f>
        <v/>
      </c>
      <c r="BM174" t="str">
        <f t="shared" si="116"/>
        <v>SAIPAN</v>
      </c>
      <c r="BO174" t="s">
        <v>83</v>
      </c>
      <c r="BP174" s="4" t="str">
        <f t="shared" si="112"/>
        <v>96950</v>
      </c>
      <c r="BQ174" t="s">
        <v>79</v>
      </c>
      <c r="BR174" t="str">
        <f>"13-2011.00"</f>
        <v>13-2011.00</v>
      </c>
      <c r="BS174" t="s">
        <v>133</v>
      </c>
      <c r="BT174" s="3">
        <v>16.190000000000001</v>
      </c>
      <c r="BU174" t="s">
        <v>80</v>
      </c>
      <c r="BV174" t="s">
        <v>90</v>
      </c>
      <c r="BW174" t="s">
        <v>92</v>
      </c>
      <c r="BY174" s="2" t="s">
        <v>1147</v>
      </c>
      <c r="BZ174" s="1">
        <v>45107</v>
      </c>
    </row>
    <row r="175" spans="1:78" ht="15" customHeight="1" x14ac:dyDescent="0.25">
      <c r="A175" t="s">
        <v>1151</v>
      </c>
      <c r="B175" t="s">
        <v>94</v>
      </c>
      <c r="C175" s="1">
        <v>44855</v>
      </c>
      <c r="D175" s="1">
        <v>44901</v>
      </c>
      <c r="H175" t="s">
        <v>78</v>
      </c>
      <c r="I175" t="str">
        <f>"SABLAN"</f>
        <v>SABLAN</v>
      </c>
      <c r="J175" t="str">
        <f>"PETER"</f>
        <v>PETER</v>
      </c>
      <c r="K175" t="str">
        <f>"BARCINAS"</f>
        <v>BARCINAS</v>
      </c>
      <c r="L175" t="str">
        <f>"VICE PRESIDENT"</f>
        <v>VICE PRESIDENT</v>
      </c>
      <c r="M175" t="str">
        <f>"AYD COMPOUND"</f>
        <v>AYD COMPOUND</v>
      </c>
      <c r="N175" t="str">
        <f>"SAN ANTONIO"</f>
        <v>SAN ANTONIO</v>
      </c>
      <c r="O175" t="str">
        <f t="shared" si="115"/>
        <v>SAIPAN</v>
      </c>
      <c r="P175" t="str">
        <f t="shared" si="113"/>
        <v>MP</v>
      </c>
      <c r="Q175" s="4" t="str">
        <f t="shared" si="114"/>
        <v>96950</v>
      </c>
      <c r="R175" t="str">
        <f t="shared" si="90"/>
        <v>UNITED STATES OF AMERICA</v>
      </c>
      <c r="S175" t="str">
        <f>""</f>
        <v/>
      </c>
      <c r="T175" s="5" t="str">
        <f>"16702357011"</f>
        <v>16702357011</v>
      </c>
      <c r="U175" t="str">
        <f>""</f>
        <v/>
      </c>
      <c r="V175" s="5" t="str">
        <f>""</f>
        <v/>
      </c>
      <c r="W175" t="str">
        <f>"aydpenasap@gmail.com"</f>
        <v>aydpenasap@gmail.com</v>
      </c>
      <c r="X175" t="str">
        <f>"AYD SERVICES, INC."</f>
        <v>AYD SERVICES, INC.</v>
      </c>
      <c r="Y175" t="str">
        <f>"N/A"</f>
        <v>N/A</v>
      </c>
      <c r="Z175" t="str">
        <f>"AYD COMPOUND"</f>
        <v>AYD COMPOUND</v>
      </c>
      <c r="AA175" t="str">
        <f>"SAN ANTONIO"</f>
        <v>SAN ANTONIO</v>
      </c>
      <c r="AB175" t="str">
        <f t="shared" si="117"/>
        <v>SAIPAN</v>
      </c>
      <c r="AC175" t="str">
        <f t="shared" si="91"/>
        <v>MP</v>
      </c>
      <c r="AD175" t="str">
        <f t="shared" si="118"/>
        <v>96950</v>
      </c>
      <c r="AE175" t="str">
        <f t="shared" si="92"/>
        <v>UNITED STATES OF AMERICA</v>
      </c>
      <c r="AF175" t="str">
        <f>""</f>
        <v/>
      </c>
      <c r="AG175" s="4" t="str">
        <f>"16702357011"</f>
        <v>16702357011</v>
      </c>
      <c r="AH175" t="str">
        <f>""</f>
        <v/>
      </c>
      <c r="AI175" t="str">
        <f>"56211"</f>
        <v>56211</v>
      </c>
      <c r="AJ175" t="s">
        <v>79</v>
      </c>
      <c r="AK175" t="s">
        <v>79</v>
      </c>
      <c r="AL175" t="s">
        <v>80</v>
      </c>
      <c r="AM175" t="s">
        <v>79</v>
      </c>
      <c r="AP175" t="str">
        <f>"Trash Collector"</f>
        <v>Trash Collector</v>
      </c>
      <c r="AQ175" t="str">
        <f>"53-7081.00"</f>
        <v>53-7081.00</v>
      </c>
      <c r="AR175" t="str">
        <f>"Refuse and Recyclable Material Collectors"</f>
        <v>Refuse and Recyclable Material Collectors</v>
      </c>
      <c r="AS175" t="str">
        <f>"N/A"</f>
        <v>N/A</v>
      </c>
      <c r="AT175" t="s">
        <v>79</v>
      </c>
      <c r="AU175" t="str">
        <f>""</f>
        <v/>
      </c>
      <c r="AV175" t="str">
        <f>""</f>
        <v/>
      </c>
      <c r="AW175" t="s">
        <v>79</v>
      </c>
      <c r="AX175" t="str">
        <f>""</f>
        <v/>
      </c>
      <c r="AY175" t="s">
        <v>84</v>
      </c>
      <c r="BA175" t="s">
        <v>80</v>
      </c>
      <c r="BB175" t="s">
        <v>79</v>
      </c>
      <c r="BD175" t="s">
        <v>79</v>
      </c>
      <c r="BG175" t="s">
        <v>82</v>
      </c>
      <c r="BH175">
        <v>6</v>
      </c>
      <c r="BI175" t="s">
        <v>1152</v>
      </c>
      <c r="BJ175" t="s">
        <v>1153</v>
      </c>
      <c r="BK175" t="str">
        <f>"AYD COMPOUND"</f>
        <v>AYD COMPOUND</v>
      </c>
      <c r="BL175" t="str">
        <f>"SAN ANTONIO"</f>
        <v>SAN ANTONIO</v>
      </c>
      <c r="BM175" t="str">
        <f t="shared" si="116"/>
        <v>SAIPAN</v>
      </c>
      <c r="BO175" t="s">
        <v>83</v>
      </c>
      <c r="BP175" s="4" t="str">
        <f t="shared" si="112"/>
        <v>96950</v>
      </c>
      <c r="BQ175" t="s">
        <v>79</v>
      </c>
      <c r="BR175" t="str">
        <f>"53-7081.00"</f>
        <v>53-7081.00</v>
      </c>
      <c r="BS175" t="s">
        <v>1154</v>
      </c>
      <c r="BT175" s="3">
        <v>9.51</v>
      </c>
      <c r="BU175" t="s">
        <v>80</v>
      </c>
      <c r="BV175" t="s">
        <v>90</v>
      </c>
      <c r="BW175" t="s">
        <v>92</v>
      </c>
      <c r="BZ175" s="1">
        <v>45107</v>
      </c>
    </row>
    <row r="176" spans="1:78" ht="15" customHeight="1" x14ac:dyDescent="0.25">
      <c r="A176" t="s">
        <v>1158</v>
      </c>
      <c r="B176" t="s">
        <v>94</v>
      </c>
      <c r="C176" s="1">
        <v>44855</v>
      </c>
      <c r="D176" s="1">
        <v>44901</v>
      </c>
      <c r="H176" t="s">
        <v>78</v>
      </c>
      <c r="I176" t="str">
        <f>"SABLAN"</f>
        <v>SABLAN</v>
      </c>
      <c r="J176" t="str">
        <f>"PETER"</f>
        <v>PETER</v>
      </c>
      <c r="K176" t="str">
        <f>"BARCINAS"</f>
        <v>BARCINAS</v>
      </c>
      <c r="L176" t="str">
        <f>"MEMBER"</f>
        <v>MEMBER</v>
      </c>
      <c r="M176" t="str">
        <f>"GROUND FLOOR SABLAN AFETNA PLAZA"</f>
        <v>GROUND FLOOR SABLAN AFETNA PLAZA</v>
      </c>
      <c r="N176" t="str">
        <f>"SAN ANTONIO"</f>
        <v>SAN ANTONIO</v>
      </c>
      <c r="O176" t="str">
        <f t="shared" si="115"/>
        <v>SAIPAN</v>
      </c>
      <c r="P176" t="str">
        <f t="shared" si="113"/>
        <v>MP</v>
      </c>
      <c r="Q176" s="4" t="str">
        <f t="shared" si="114"/>
        <v>96950</v>
      </c>
      <c r="R176" t="str">
        <f t="shared" si="90"/>
        <v>UNITED STATES OF AMERICA</v>
      </c>
      <c r="S176" t="str">
        <f>""</f>
        <v/>
      </c>
      <c r="T176" s="5" t="str">
        <f>"16702351680"</f>
        <v>16702351680</v>
      </c>
      <c r="U176" t="str">
        <f>""</f>
        <v/>
      </c>
      <c r="V176" s="5" t="str">
        <f>""</f>
        <v/>
      </c>
      <c r="W176" t="str">
        <f>"sapaydpena@gmail.com"</f>
        <v>sapaydpena@gmail.com</v>
      </c>
      <c r="X176" t="str">
        <f>"SAIPAN APPAREL PRINTING LLC."</f>
        <v>SAIPAN APPAREL PRINTING LLC.</v>
      </c>
      <c r="Y176" t="str">
        <f>"N/A"</f>
        <v>N/A</v>
      </c>
      <c r="Z176" t="str">
        <f>"GROUND FLOOR, SABLAN AFETNA PLAZA"</f>
        <v>GROUND FLOOR, SABLAN AFETNA PLAZA</v>
      </c>
      <c r="AA176" t="str">
        <f>"SAN ANTONIO"</f>
        <v>SAN ANTONIO</v>
      </c>
      <c r="AB176" t="str">
        <f t="shared" si="117"/>
        <v>SAIPAN</v>
      </c>
      <c r="AC176" t="str">
        <f t="shared" si="91"/>
        <v>MP</v>
      </c>
      <c r="AD176" t="str">
        <f t="shared" si="118"/>
        <v>96950</v>
      </c>
      <c r="AE176" t="str">
        <f t="shared" si="92"/>
        <v>UNITED STATES OF AMERICA</v>
      </c>
      <c r="AF176" t="str">
        <f>""</f>
        <v/>
      </c>
      <c r="AG176" s="4" t="str">
        <f>"16702351680"</f>
        <v>16702351680</v>
      </c>
      <c r="AH176" t="str">
        <f>""</f>
        <v/>
      </c>
      <c r="AI176" t="str">
        <f>"31331"</f>
        <v>31331</v>
      </c>
      <c r="AJ176" t="s">
        <v>79</v>
      </c>
      <c r="AK176" t="s">
        <v>79</v>
      </c>
      <c r="AL176" t="s">
        <v>80</v>
      </c>
      <c r="AM176" t="s">
        <v>79</v>
      </c>
      <c r="AP176" t="str">
        <f>"GRAPHIC DESIGNER"</f>
        <v>GRAPHIC DESIGNER</v>
      </c>
      <c r="AQ176" t="str">
        <f>"27-1024.00"</f>
        <v>27-1024.00</v>
      </c>
      <c r="AR176" t="str">
        <f>"Graphic Designers"</f>
        <v>Graphic Designers</v>
      </c>
      <c r="AS176" t="str">
        <f>"N/A"</f>
        <v>N/A</v>
      </c>
      <c r="AT176" t="s">
        <v>79</v>
      </c>
      <c r="AU176" t="str">
        <f>""</f>
        <v/>
      </c>
      <c r="AV176" t="str">
        <f>""</f>
        <v/>
      </c>
      <c r="AW176" t="s">
        <v>79</v>
      </c>
      <c r="AX176" t="str">
        <f>""</f>
        <v/>
      </c>
      <c r="AY176" t="s">
        <v>84</v>
      </c>
      <c r="BA176" t="s">
        <v>80</v>
      </c>
      <c r="BB176" t="s">
        <v>79</v>
      </c>
      <c r="BD176" t="s">
        <v>79</v>
      </c>
      <c r="BG176" t="s">
        <v>82</v>
      </c>
      <c r="BH176">
        <v>3</v>
      </c>
      <c r="BI176" t="s">
        <v>1159</v>
      </c>
      <c r="BJ176" t="s">
        <v>1160</v>
      </c>
      <c r="BK176" t="str">
        <f>"GROUND FLOOR SABLAN AFETNA PLAZA"</f>
        <v>GROUND FLOOR SABLAN AFETNA PLAZA</v>
      </c>
      <c r="BL176" t="str">
        <f>"SAN ANTONIO "</f>
        <v xml:space="preserve">SAN ANTONIO </v>
      </c>
      <c r="BM176" t="str">
        <f t="shared" si="116"/>
        <v>SAIPAN</v>
      </c>
      <c r="BO176" t="s">
        <v>83</v>
      </c>
      <c r="BP176" s="4" t="str">
        <f t="shared" si="112"/>
        <v>96950</v>
      </c>
      <c r="BQ176" t="s">
        <v>79</v>
      </c>
      <c r="BR176" t="str">
        <f>"27-1024.00"</f>
        <v>27-1024.00</v>
      </c>
      <c r="BS176" t="s">
        <v>512</v>
      </c>
      <c r="BT176" s="3">
        <v>10.18</v>
      </c>
      <c r="BU176" t="s">
        <v>80</v>
      </c>
      <c r="BV176" t="s">
        <v>90</v>
      </c>
      <c r="BW176" t="s">
        <v>92</v>
      </c>
      <c r="BZ176" s="1">
        <v>45107</v>
      </c>
    </row>
    <row r="177" spans="1:78" ht="15" customHeight="1" x14ac:dyDescent="0.25">
      <c r="A177" t="s">
        <v>1161</v>
      </c>
      <c r="B177" t="s">
        <v>94</v>
      </c>
      <c r="C177" s="1">
        <v>44855</v>
      </c>
      <c r="D177" s="1">
        <v>44901</v>
      </c>
      <c r="H177" t="s">
        <v>78</v>
      </c>
      <c r="I177" t="str">
        <f>"SABLAN"</f>
        <v>SABLAN</v>
      </c>
      <c r="J177" t="str">
        <f>"PETER"</f>
        <v>PETER</v>
      </c>
      <c r="K177" t="str">
        <f>"BARCINAS"</f>
        <v>BARCINAS</v>
      </c>
      <c r="L177" t="str">
        <f>"VICE PRESIDENT"</f>
        <v>VICE PRESIDENT</v>
      </c>
      <c r="M177" t="str">
        <f>"AYD COMPOUND"</f>
        <v>AYD COMPOUND</v>
      </c>
      <c r="N177" t="str">
        <f>"SAN ANTONIO"</f>
        <v>SAN ANTONIO</v>
      </c>
      <c r="O177" t="str">
        <f t="shared" si="115"/>
        <v>SAIPAN</v>
      </c>
      <c r="P177" t="str">
        <f t="shared" si="113"/>
        <v>MP</v>
      </c>
      <c r="Q177" s="4" t="str">
        <f t="shared" si="114"/>
        <v>96950</v>
      </c>
      <c r="R177" t="str">
        <f t="shared" si="90"/>
        <v>UNITED STATES OF AMERICA</v>
      </c>
      <c r="S177" t="str">
        <f>""</f>
        <v/>
      </c>
      <c r="T177" s="5" t="str">
        <f>"16702357011"</f>
        <v>16702357011</v>
      </c>
      <c r="U177" t="str">
        <f>""</f>
        <v/>
      </c>
      <c r="V177" s="5" t="str">
        <f>""</f>
        <v/>
      </c>
      <c r="W177" t="str">
        <f>"aydpenasap@gmail.com"</f>
        <v>aydpenasap@gmail.com</v>
      </c>
      <c r="X177" t="str">
        <f>"AYD SERVICES, INC."</f>
        <v>AYD SERVICES, INC.</v>
      </c>
      <c r="Y177" t="str">
        <f>""</f>
        <v/>
      </c>
      <c r="Z177" t="str">
        <f>"GROUND FLOOR, SABLAN AFETNA PLAZA"</f>
        <v>GROUND FLOOR, SABLAN AFETNA PLAZA</v>
      </c>
      <c r="AA177" t="str">
        <f>"SAN ANTONIO"</f>
        <v>SAN ANTONIO</v>
      </c>
      <c r="AB177" t="str">
        <f t="shared" si="117"/>
        <v>SAIPAN</v>
      </c>
      <c r="AC177" t="str">
        <f t="shared" si="91"/>
        <v>MP</v>
      </c>
      <c r="AD177" t="str">
        <f t="shared" si="118"/>
        <v>96950</v>
      </c>
      <c r="AE177" t="str">
        <f t="shared" si="92"/>
        <v>UNITED STATES OF AMERICA</v>
      </c>
      <c r="AF177" t="str">
        <f>""</f>
        <v/>
      </c>
      <c r="AG177" s="4" t="str">
        <f>"16702351680"</f>
        <v>16702351680</v>
      </c>
      <c r="AH177" t="str">
        <f>""</f>
        <v/>
      </c>
      <c r="AI177" t="str">
        <f>"5613"</f>
        <v>5613</v>
      </c>
      <c r="AJ177" t="s">
        <v>79</v>
      </c>
      <c r="AK177" t="s">
        <v>79</v>
      </c>
      <c r="AL177" t="s">
        <v>80</v>
      </c>
      <c r="AM177" t="s">
        <v>79</v>
      </c>
      <c r="AP177" t="str">
        <f>"HOUSEHELPER"</f>
        <v>HOUSEHELPER</v>
      </c>
      <c r="AQ177" t="str">
        <f>"37-2012.00"</f>
        <v>37-2012.00</v>
      </c>
      <c r="AR177" t="str">
        <f>"Maids and Housekeeping Cleaners"</f>
        <v>Maids and Housekeeping Cleaners</v>
      </c>
      <c r="AS177" t="str">
        <f>"N/A"</f>
        <v>N/A</v>
      </c>
      <c r="AT177" t="s">
        <v>79</v>
      </c>
      <c r="AU177" t="str">
        <f>""</f>
        <v/>
      </c>
      <c r="AV177" t="str">
        <f>""</f>
        <v/>
      </c>
      <c r="AW177" t="s">
        <v>79</v>
      </c>
      <c r="AX177" t="str">
        <f>""</f>
        <v/>
      </c>
      <c r="AY177" t="s">
        <v>84</v>
      </c>
      <c r="BA177" t="s">
        <v>80</v>
      </c>
      <c r="BB177" t="s">
        <v>79</v>
      </c>
      <c r="BD177" t="s">
        <v>79</v>
      </c>
      <c r="BG177" t="s">
        <v>82</v>
      </c>
      <c r="BH177">
        <v>3</v>
      </c>
      <c r="BI177" t="s">
        <v>1140</v>
      </c>
      <c r="BJ177" t="s">
        <v>1162</v>
      </c>
      <c r="BK177" t="str">
        <f>"AYD COMPOUND "</f>
        <v xml:space="preserve">AYD COMPOUND </v>
      </c>
      <c r="BL177" t="str">
        <f>"SAN ANTONIO"</f>
        <v>SAN ANTONIO</v>
      </c>
      <c r="BM177" t="str">
        <f t="shared" si="116"/>
        <v>SAIPAN</v>
      </c>
      <c r="BO177" t="s">
        <v>83</v>
      </c>
      <c r="BP177" s="4" t="str">
        <f t="shared" si="112"/>
        <v>96950</v>
      </c>
      <c r="BQ177" t="s">
        <v>79</v>
      </c>
      <c r="BR177" t="str">
        <f>"37-2012.00"</f>
        <v>37-2012.00</v>
      </c>
      <c r="BS177" t="s">
        <v>109</v>
      </c>
      <c r="BT177" s="3">
        <v>7.56</v>
      </c>
      <c r="BU177" t="s">
        <v>80</v>
      </c>
      <c r="BV177" t="s">
        <v>90</v>
      </c>
      <c r="BW177" t="s">
        <v>92</v>
      </c>
      <c r="BZ177" s="1">
        <v>45107</v>
      </c>
    </row>
    <row r="178" spans="1:78" ht="15" customHeight="1" x14ac:dyDescent="0.25">
      <c r="A178" t="s">
        <v>1130</v>
      </c>
      <c r="B178" t="s">
        <v>94</v>
      </c>
      <c r="C178" s="1">
        <v>44854</v>
      </c>
      <c r="D178" s="1">
        <v>44901</v>
      </c>
      <c r="H178" t="s">
        <v>78</v>
      </c>
      <c r="I178" t="str">
        <f>"SHEU"</f>
        <v>SHEU</v>
      </c>
      <c r="J178" t="str">
        <f>"MICHAEL"</f>
        <v>MICHAEL</v>
      </c>
      <c r="K178" t="str">
        <f>"UNPINGCO"</f>
        <v>UNPINGCO</v>
      </c>
      <c r="L178" t="str">
        <f>"VICE-PRESIDENT"</f>
        <v>VICE-PRESIDENT</v>
      </c>
      <c r="M178" t="str">
        <f>"3786 AFETNAS ROAD SAN ANTONIO"</f>
        <v>3786 AFETNAS ROAD SAN ANTONIO</v>
      </c>
      <c r="N178" t="str">
        <f>""</f>
        <v/>
      </c>
      <c r="O178" t="str">
        <f t="shared" si="115"/>
        <v>SAIPAN</v>
      </c>
      <c r="P178" t="str">
        <f t="shared" si="113"/>
        <v>MP</v>
      </c>
      <c r="Q178" s="4" t="str">
        <f t="shared" si="114"/>
        <v>96950</v>
      </c>
      <c r="R178" t="str">
        <f t="shared" si="90"/>
        <v>UNITED STATES OF AMERICA</v>
      </c>
      <c r="S178" t="str">
        <f>""</f>
        <v/>
      </c>
      <c r="T178" s="5" t="str">
        <f>"16702358748"</f>
        <v>16702358748</v>
      </c>
      <c r="U178" t="str">
        <f>""</f>
        <v/>
      </c>
      <c r="V178" s="5" t="str">
        <f>""</f>
        <v/>
      </c>
      <c r="W178" t="str">
        <f>"msheu@hongyehardware.com"</f>
        <v>msheu@hongyehardware.com</v>
      </c>
      <c r="X178" t="str">
        <f>"HONG YE TRADING CO LTD"</f>
        <v>HONG YE TRADING CO LTD</v>
      </c>
      <c r="Y178" t="str">
        <f>"HONG YE HARDWARE"</f>
        <v>HONG YE HARDWARE</v>
      </c>
      <c r="Z178" t="str">
        <f>"3786 AFETNAS ROAD SAN ANTONIO"</f>
        <v>3786 AFETNAS ROAD SAN ANTONIO</v>
      </c>
      <c r="AA178" t="str">
        <f>""</f>
        <v/>
      </c>
      <c r="AB178" t="str">
        <f t="shared" si="117"/>
        <v>SAIPAN</v>
      </c>
      <c r="AC178" t="str">
        <f t="shared" si="91"/>
        <v>MP</v>
      </c>
      <c r="AD178" t="str">
        <f t="shared" si="118"/>
        <v>96950</v>
      </c>
      <c r="AE178" t="str">
        <f t="shared" si="92"/>
        <v>UNITED STATES OF AMERICA</v>
      </c>
      <c r="AF178" t="str">
        <f>""</f>
        <v/>
      </c>
      <c r="AG178" s="4" t="str">
        <f>"16702358748"</f>
        <v>16702358748</v>
      </c>
      <c r="AH178" t="str">
        <f>""</f>
        <v/>
      </c>
      <c r="AI178" t="str">
        <f>"423710"</f>
        <v>423710</v>
      </c>
      <c r="AJ178" t="s">
        <v>79</v>
      </c>
      <c r="AK178" t="s">
        <v>79</v>
      </c>
      <c r="AL178" t="s">
        <v>80</v>
      </c>
      <c r="AM178" t="s">
        <v>79</v>
      </c>
      <c r="AP178" t="str">
        <f>"OFFICE CLERK, GENERAL"</f>
        <v>OFFICE CLERK, GENERAL</v>
      </c>
      <c r="AQ178" t="str">
        <f>"43-9061.00"</f>
        <v>43-9061.00</v>
      </c>
      <c r="AR178" t="str">
        <f>"Office Clerks, General"</f>
        <v>Office Clerks, General</v>
      </c>
      <c r="AS178" t="str">
        <f>"MANAGER"</f>
        <v>MANAGER</v>
      </c>
      <c r="AT178" t="s">
        <v>79</v>
      </c>
      <c r="AU178" t="str">
        <f>""</f>
        <v/>
      </c>
      <c r="AV178" t="str">
        <f>""</f>
        <v/>
      </c>
      <c r="AW178" t="s">
        <v>79</v>
      </c>
      <c r="AX178" t="str">
        <f>""</f>
        <v/>
      </c>
      <c r="AY178" t="s">
        <v>84</v>
      </c>
      <c r="BA178" t="s">
        <v>80</v>
      </c>
      <c r="BB178" t="s">
        <v>79</v>
      </c>
      <c r="BD178" t="s">
        <v>79</v>
      </c>
      <c r="BG178" t="s">
        <v>82</v>
      </c>
      <c r="BH178">
        <v>12</v>
      </c>
      <c r="BI178" t="s">
        <v>1131</v>
      </c>
      <c r="BJ178" t="s">
        <v>1132</v>
      </c>
      <c r="BK178" t="str">
        <f>"3786 AFETNAS ROAD SAN ANTONIO"</f>
        <v>3786 AFETNAS ROAD SAN ANTONIO</v>
      </c>
      <c r="BL178" t="str">
        <f>""</f>
        <v/>
      </c>
      <c r="BM178" t="str">
        <f t="shared" si="116"/>
        <v>SAIPAN</v>
      </c>
      <c r="BO178" t="s">
        <v>83</v>
      </c>
      <c r="BP178" s="4" t="str">
        <f t="shared" si="112"/>
        <v>96950</v>
      </c>
      <c r="BQ178" t="s">
        <v>79</v>
      </c>
      <c r="BR178" t="str">
        <f>"43-9061.00"</f>
        <v>43-9061.00</v>
      </c>
      <c r="BS178" t="s">
        <v>359</v>
      </c>
      <c r="BT178" s="3">
        <v>14.41</v>
      </c>
      <c r="BU178" t="s">
        <v>80</v>
      </c>
      <c r="BV178" t="s">
        <v>90</v>
      </c>
      <c r="BW178" t="s">
        <v>92</v>
      </c>
      <c r="BZ178" s="1">
        <v>45107</v>
      </c>
    </row>
    <row r="179" spans="1:78" ht="15" customHeight="1" x14ac:dyDescent="0.25">
      <c r="A179" t="s">
        <v>1133</v>
      </c>
      <c r="B179" t="s">
        <v>94</v>
      </c>
      <c r="C179" s="1">
        <v>44854</v>
      </c>
      <c r="D179" s="1">
        <v>44901</v>
      </c>
      <c r="H179" t="s">
        <v>78</v>
      </c>
      <c r="I179" t="str">
        <f>"MOLLICK"</f>
        <v>MOLLICK</v>
      </c>
      <c r="J179" t="str">
        <f>"AKHIL CHANDRA"</f>
        <v>AKHIL CHANDRA</v>
      </c>
      <c r="K179" t="str">
        <f>"N/A"</f>
        <v>N/A</v>
      </c>
      <c r="L179" t="str">
        <f>"PROPRIETOR"</f>
        <v>PROPRIETOR</v>
      </c>
      <c r="M179" t="str">
        <f>"P.O. BOX 502555, LOWER NAVY HILL"</f>
        <v>P.O. BOX 502555, LOWER NAVY HILL</v>
      </c>
      <c r="N179" t="str">
        <f>"GARAPAN"</f>
        <v>GARAPAN</v>
      </c>
      <c r="O179" t="str">
        <f t="shared" si="115"/>
        <v>SAIPAN</v>
      </c>
      <c r="P179" t="str">
        <f t="shared" si="113"/>
        <v>MP</v>
      </c>
      <c r="Q179" s="4" t="str">
        <f t="shared" si="114"/>
        <v>96950</v>
      </c>
      <c r="R179" t="str">
        <f t="shared" si="90"/>
        <v>UNITED STATES OF AMERICA</v>
      </c>
      <c r="S179" t="str">
        <f>"MP"</f>
        <v>MP</v>
      </c>
      <c r="T179" s="5" t="str">
        <f>"16702873600"</f>
        <v>16702873600</v>
      </c>
      <c r="U179" t="str">
        <f>""</f>
        <v/>
      </c>
      <c r="V179" s="5" t="str">
        <f>""</f>
        <v/>
      </c>
      <c r="W179" t="str">
        <f>"akhilchandramollick@yahoo.com"</f>
        <v>akhilchandramollick@yahoo.com</v>
      </c>
      <c r="X179" t="str">
        <f>"AKHIL CHANDRA MOLLICK"</f>
        <v>AKHIL CHANDRA MOLLICK</v>
      </c>
      <c r="Y179" t="str">
        <f>"MOLLICK ENTERPRISES"</f>
        <v>MOLLICK ENTERPRISES</v>
      </c>
      <c r="Z179" t="str">
        <f>"P.O. BOX 502555, LOWER NAVY HILL"</f>
        <v>P.O. BOX 502555, LOWER NAVY HILL</v>
      </c>
      <c r="AA179" t="str">
        <f>"GARAPAN"</f>
        <v>GARAPAN</v>
      </c>
      <c r="AB179" t="str">
        <f t="shared" si="117"/>
        <v>SAIPAN</v>
      </c>
      <c r="AC179" t="str">
        <f t="shared" si="91"/>
        <v>MP</v>
      </c>
      <c r="AD179" t="str">
        <f t="shared" si="118"/>
        <v>96950</v>
      </c>
      <c r="AE179" t="str">
        <f t="shared" si="92"/>
        <v>UNITED STATES OF AMERICA</v>
      </c>
      <c r="AF179" t="str">
        <f>"MP"</f>
        <v>MP</v>
      </c>
      <c r="AG179" s="4" t="str">
        <f>"16702873600"</f>
        <v>16702873600</v>
      </c>
      <c r="AH179" t="str">
        <f>""</f>
        <v/>
      </c>
      <c r="AI179" t="str">
        <f>"71399"</f>
        <v>71399</v>
      </c>
      <c r="AJ179" t="s">
        <v>79</v>
      </c>
      <c r="AK179" t="s">
        <v>79</v>
      </c>
      <c r="AL179" t="s">
        <v>80</v>
      </c>
      <c r="AM179" t="s">
        <v>79</v>
      </c>
      <c r="AP179" t="str">
        <f>"OPERATION MANAGER"</f>
        <v>OPERATION MANAGER</v>
      </c>
      <c r="AQ179" t="str">
        <f>"11-1021.00"</f>
        <v>11-1021.00</v>
      </c>
      <c r="AR179" t="str">
        <f>"General and Operations Managers"</f>
        <v>General and Operations Managers</v>
      </c>
      <c r="AS179" t="str">
        <f>"OWNER"</f>
        <v>OWNER</v>
      </c>
      <c r="AT179" t="s">
        <v>82</v>
      </c>
      <c r="AU179" t="str">
        <f>"10"</f>
        <v>10</v>
      </c>
      <c r="AV179" t="str">
        <f>"Subordinate"</f>
        <v>Subordinate</v>
      </c>
      <c r="AW179" t="s">
        <v>79</v>
      </c>
      <c r="AX179" t="str">
        <f>""</f>
        <v/>
      </c>
      <c r="AY179" t="s">
        <v>84</v>
      </c>
      <c r="BA179" t="s">
        <v>80</v>
      </c>
      <c r="BB179" t="s">
        <v>79</v>
      </c>
      <c r="BD179" t="s">
        <v>79</v>
      </c>
      <c r="BG179" t="s">
        <v>82</v>
      </c>
      <c r="BH179">
        <v>12</v>
      </c>
      <c r="BI179" t="s">
        <v>1134</v>
      </c>
      <c r="BJ179" t="s">
        <v>1135</v>
      </c>
      <c r="BK179" t="str">
        <f>"LOWER NAVY HILL"</f>
        <v>LOWER NAVY HILL</v>
      </c>
      <c r="BL179" t="str">
        <f>"GARAPAN"</f>
        <v>GARAPAN</v>
      </c>
      <c r="BM179" t="str">
        <f t="shared" si="116"/>
        <v>SAIPAN</v>
      </c>
      <c r="BO179" t="s">
        <v>83</v>
      </c>
      <c r="BP179" s="4" t="str">
        <f t="shared" si="112"/>
        <v>96950</v>
      </c>
      <c r="BQ179" t="s">
        <v>79</v>
      </c>
      <c r="BR179" t="str">
        <f>"11-1021.00"</f>
        <v>11-1021.00</v>
      </c>
      <c r="BS179" t="s">
        <v>244</v>
      </c>
      <c r="BT179" s="3">
        <v>20.83</v>
      </c>
      <c r="BU179" t="s">
        <v>80</v>
      </c>
      <c r="BV179" t="s">
        <v>90</v>
      </c>
      <c r="BW179" t="s">
        <v>92</v>
      </c>
      <c r="BZ179" s="1">
        <v>45107</v>
      </c>
    </row>
    <row r="180" spans="1:78" ht="15" customHeight="1" x14ac:dyDescent="0.25">
      <c r="A180" t="s">
        <v>1139</v>
      </c>
      <c r="B180" t="s">
        <v>94</v>
      </c>
      <c r="C180" s="1">
        <v>44854</v>
      </c>
      <c r="D180" s="1">
        <v>44901</v>
      </c>
      <c r="H180" t="s">
        <v>78</v>
      </c>
      <c r="I180" t="str">
        <f>"SABLAN"</f>
        <v>SABLAN</v>
      </c>
      <c r="J180" t="str">
        <f>"MICHELLE"</f>
        <v>MICHELLE</v>
      </c>
      <c r="K180" t="str">
        <f>"LIN"</f>
        <v>LIN</v>
      </c>
      <c r="L180" t="str">
        <f>"MEMBER"</f>
        <v>MEMBER</v>
      </c>
      <c r="M180" t="str">
        <f>"980 CHALAN TUN THOMAS P. SABLAN"</f>
        <v>980 CHALAN TUN THOMAS P. SABLAN</v>
      </c>
      <c r="N180" t="str">
        <f>"SAN ANTONIO"</f>
        <v>SAN ANTONIO</v>
      </c>
      <c r="O180" t="str">
        <f>"SABLAN"</f>
        <v>SABLAN</v>
      </c>
      <c r="P180" t="str">
        <f t="shared" si="113"/>
        <v>MP</v>
      </c>
      <c r="Q180" s="4" t="str">
        <f t="shared" si="114"/>
        <v>96950</v>
      </c>
      <c r="R180" t="str">
        <f t="shared" si="90"/>
        <v>UNITED STATES OF AMERICA</v>
      </c>
      <c r="S180" t="str">
        <f>""</f>
        <v/>
      </c>
      <c r="T180" s="5" t="str">
        <f>"16702351680"</f>
        <v>16702351680</v>
      </c>
      <c r="U180" t="str">
        <f>""</f>
        <v/>
      </c>
      <c r="V180" s="5" t="str">
        <f>""</f>
        <v/>
      </c>
      <c r="W180" t="str">
        <f>"marianaspm2020@gmail.com"</f>
        <v>marianaspm2020@gmail.com</v>
      </c>
      <c r="X180" t="str">
        <f>"MARIANAS PACIFIC MANAGEMENT LLC."</f>
        <v>MARIANAS PACIFIC MANAGEMENT LLC.</v>
      </c>
      <c r="Y180" t="str">
        <f>"N/A"</f>
        <v>N/A</v>
      </c>
      <c r="Z180" t="str">
        <f>"980 CHALAN TUN THOMAS P. SABLAN"</f>
        <v>980 CHALAN TUN THOMAS P. SABLAN</v>
      </c>
      <c r="AA180" t="str">
        <f>"SAN ANTONIO"</f>
        <v>SAN ANTONIO</v>
      </c>
      <c r="AB180" t="str">
        <f t="shared" si="117"/>
        <v>SAIPAN</v>
      </c>
      <c r="AC180" t="str">
        <f t="shared" si="91"/>
        <v>MP</v>
      </c>
      <c r="AD180" t="str">
        <f t="shared" si="118"/>
        <v>96950</v>
      </c>
      <c r="AE180" t="str">
        <f t="shared" si="92"/>
        <v>UNITED STATES OF AMERICA</v>
      </c>
      <c r="AF180" t="str">
        <f>""</f>
        <v/>
      </c>
      <c r="AG180" s="4" t="str">
        <f>"16702357270"</f>
        <v>16702357270</v>
      </c>
      <c r="AH180" t="str">
        <f>""</f>
        <v/>
      </c>
      <c r="AI180" t="str">
        <f>"53112"</f>
        <v>53112</v>
      </c>
      <c r="AJ180" t="s">
        <v>79</v>
      </c>
      <c r="AK180" t="s">
        <v>79</v>
      </c>
      <c r="AL180" t="s">
        <v>80</v>
      </c>
      <c r="AM180" t="s">
        <v>79</v>
      </c>
      <c r="AP180" t="str">
        <f>"HOUSEHELPER"</f>
        <v>HOUSEHELPER</v>
      </c>
      <c r="AQ180" t="str">
        <f>"37-2012.00"</f>
        <v>37-2012.00</v>
      </c>
      <c r="AR180" t="str">
        <f>"Maids and Housekeeping Cleaners"</f>
        <v>Maids and Housekeeping Cleaners</v>
      </c>
      <c r="AS180" t="str">
        <f>"N/A"</f>
        <v>N/A</v>
      </c>
      <c r="AT180" t="s">
        <v>79</v>
      </c>
      <c r="AU180" t="str">
        <f>""</f>
        <v/>
      </c>
      <c r="AV180" t="str">
        <f>""</f>
        <v/>
      </c>
      <c r="AW180" t="s">
        <v>79</v>
      </c>
      <c r="AX180" t="str">
        <f>""</f>
        <v/>
      </c>
      <c r="AY180" t="s">
        <v>84</v>
      </c>
      <c r="BA180" t="s">
        <v>80</v>
      </c>
      <c r="BB180" t="s">
        <v>79</v>
      </c>
      <c r="BD180" t="s">
        <v>79</v>
      </c>
      <c r="BG180" t="s">
        <v>82</v>
      </c>
      <c r="BH180">
        <v>3</v>
      </c>
      <c r="BI180" t="s">
        <v>1140</v>
      </c>
      <c r="BJ180" t="s">
        <v>1141</v>
      </c>
      <c r="BK180" t="str">
        <f>"Ground Floor, Sablan Afetna Plaza"</f>
        <v>Ground Floor, Sablan Afetna Plaza</v>
      </c>
      <c r="BL180" t="str">
        <f>"San Antonio"</f>
        <v>San Antonio</v>
      </c>
      <c r="BM180" t="str">
        <f>"Saipan"</f>
        <v>Saipan</v>
      </c>
      <c r="BO180" t="s">
        <v>83</v>
      </c>
      <c r="BP180" s="4" t="str">
        <f t="shared" si="112"/>
        <v>96950</v>
      </c>
      <c r="BQ180" t="s">
        <v>79</v>
      </c>
      <c r="BR180" t="str">
        <f>"37-2012.00"</f>
        <v>37-2012.00</v>
      </c>
      <c r="BS180" t="s">
        <v>109</v>
      </c>
      <c r="BT180" s="3">
        <v>7.56</v>
      </c>
      <c r="BU180" t="s">
        <v>80</v>
      </c>
      <c r="BV180" t="s">
        <v>90</v>
      </c>
      <c r="BW180" t="s">
        <v>92</v>
      </c>
      <c r="BZ180" s="1">
        <v>45107</v>
      </c>
    </row>
    <row r="181" spans="1:78" ht="15" customHeight="1" x14ac:dyDescent="0.25">
      <c r="A181" t="s">
        <v>1281</v>
      </c>
      <c r="B181" t="s">
        <v>94</v>
      </c>
      <c r="C181" s="1">
        <v>44860</v>
      </c>
      <c r="D181" s="1">
        <v>44900</v>
      </c>
      <c r="H181" t="s">
        <v>78</v>
      </c>
      <c r="I181" t="str">
        <f>"DELOS SANTOS"</f>
        <v>DELOS SANTOS</v>
      </c>
      <c r="J181" t="str">
        <f>"NENITA"</f>
        <v>NENITA</v>
      </c>
      <c r="K181" t="str">
        <f>"VELASQUEZ"</f>
        <v>VELASQUEZ</v>
      </c>
      <c r="L181" t="str">
        <f>"PRESIDENT"</f>
        <v>PRESIDENT</v>
      </c>
      <c r="M181" t="str">
        <f>"MARIANAS INSRUANCE BLDG SAN JOSE"</f>
        <v>MARIANAS INSRUANCE BLDG SAN JOSE</v>
      </c>
      <c r="N181" t="str">
        <f>"P.O. BOX 504330"</f>
        <v>P.O. BOX 504330</v>
      </c>
      <c r="O181" t="str">
        <f>"SAIPAN"</f>
        <v>SAIPAN</v>
      </c>
      <c r="P181" t="str">
        <f t="shared" si="113"/>
        <v>MP</v>
      </c>
      <c r="Q181" s="4" t="str">
        <f t="shared" si="114"/>
        <v>96950</v>
      </c>
      <c r="R181" t="str">
        <f t="shared" si="90"/>
        <v>UNITED STATES OF AMERICA</v>
      </c>
      <c r="S181" t="str">
        <f>"N/A"</f>
        <v>N/A</v>
      </c>
      <c r="T181" s="5" t="str">
        <f>"16702355009"</f>
        <v>16702355009</v>
      </c>
      <c r="U181" t="str">
        <f>""</f>
        <v/>
      </c>
      <c r="V181" s="5" t="str">
        <f>""</f>
        <v/>
      </c>
      <c r="W181" t="str">
        <f>"saint_trading1986@yahoo.com"</f>
        <v>saint_trading1986@yahoo.com</v>
      </c>
      <c r="X181" t="str">
        <f>"LSG LUFTHANSA SERVICE SAIPAN"</f>
        <v>LSG LUFTHANSA SERVICE SAIPAN</v>
      </c>
      <c r="Y181" t="str">
        <f>"LSG SKY CHEF"</f>
        <v>LSG SKY CHEF</v>
      </c>
      <c r="Z181" t="str">
        <f>"PO BOX 500270"</f>
        <v>PO BOX 500270</v>
      </c>
      <c r="AA181" t="str">
        <f>""</f>
        <v/>
      </c>
      <c r="AB181" t="str">
        <f t="shared" si="117"/>
        <v>SAIPAN</v>
      </c>
      <c r="AC181" t="str">
        <f t="shared" si="91"/>
        <v>MP</v>
      </c>
      <c r="AD181" t="str">
        <f t="shared" si="118"/>
        <v>96950</v>
      </c>
      <c r="AE181" t="str">
        <f t="shared" si="92"/>
        <v>UNITED STATES OF AMERICA</v>
      </c>
      <c r="AF181" t="str">
        <f>"N/A"</f>
        <v>N/A</v>
      </c>
      <c r="AG181" s="4" t="str">
        <f>"16702348258"</f>
        <v>16702348258</v>
      </c>
      <c r="AH181" t="str">
        <f>""</f>
        <v/>
      </c>
      <c r="AI181" t="str">
        <f>"722310"</f>
        <v>722310</v>
      </c>
      <c r="AJ181" t="s">
        <v>79</v>
      </c>
      <c r="AK181" t="s">
        <v>79</v>
      </c>
      <c r="AL181" t="s">
        <v>80</v>
      </c>
      <c r="AM181" t="s">
        <v>79</v>
      </c>
      <c r="AP181" t="str">
        <f>"FOOD SERVICE SUPERVISOR"</f>
        <v>FOOD SERVICE SUPERVISOR</v>
      </c>
      <c r="AQ181" t="str">
        <f>"35-1012.00"</f>
        <v>35-1012.00</v>
      </c>
      <c r="AR181" t="str">
        <f>"First-Line Supervisors of Food Preparation and Serving Workers"</f>
        <v>First-Line Supervisors of Food Preparation and Serving Workers</v>
      </c>
      <c r="AS181" t="str">
        <f>"RESIDENT MANAGER"</f>
        <v>RESIDENT MANAGER</v>
      </c>
      <c r="AT181" t="s">
        <v>82</v>
      </c>
      <c r="AU181" t="str">
        <f>"4"</f>
        <v>4</v>
      </c>
      <c r="AV181" t="str">
        <f>"Subordinate"</f>
        <v>Subordinate</v>
      </c>
      <c r="AW181" t="s">
        <v>79</v>
      </c>
      <c r="AX181" t="str">
        <f>""</f>
        <v/>
      </c>
      <c r="AY181" t="s">
        <v>84</v>
      </c>
      <c r="BA181" t="s">
        <v>80</v>
      </c>
      <c r="BB181" t="s">
        <v>79</v>
      </c>
      <c r="BD181" t="s">
        <v>79</v>
      </c>
      <c r="BG181" t="s">
        <v>82</v>
      </c>
      <c r="BH181">
        <v>12</v>
      </c>
      <c r="BI181" t="s">
        <v>692</v>
      </c>
      <c r="BJ181" t="s">
        <v>1282</v>
      </c>
      <c r="BK181" t="str">
        <f>"TUN HERMAN PAN ROAD , Saipan International Airport"</f>
        <v>TUN HERMAN PAN ROAD , Saipan International Airport</v>
      </c>
      <c r="BL181" t="str">
        <f>""</f>
        <v/>
      </c>
      <c r="BM181" t="str">
        <f>"Saipan"</f>
        <v>Saipan</v>
      </c>
      <c r="BO181" t="s">
        <v>83</v>
      </c>
      <c r="BP181" s="4" t="str">
        <f t="shared" si="112"/>
        <v>96950</v>
      </c>
      <c r="BQ181" t="s">
        <v>79</v>
      </c>
      <c r="BR181" t="str">
        <f>"35-1012.00"</f>
        <v>35-1012.00</v>
      </c>
      <c r="BS181" t="s">
        <v>694</v>
      </c>
      <c r="BT181" s="3">
        <v>9.75</v>
      </c>
      <c r="BU181" t="s">
        <v>80</v>
      </c>
      <c r="BV181" t="s">
        <v>90</v>
      </c>
      <c r="BW181" t="s">
        <v>92</v>
      </c>
      <c r="BZ181" s="1">
        <v>45107</v>
      </c>
    </row>
    <row r="182" spans="1:78" ht="15" customHeight="1" x14ac:dyDescent="0.25">
      <c r="A182" t="s">
        <v>1283</v>
      </c>
      <c r="B182" t="s">
        <v>94</v>
      </c>
      <c r="C182" s="1">
        <v>44860</v>
      </c>
      <c r="D182" s="1">
        <v>44900</v>
      </c>
      <c r="H182" t="s">
        <v>78</v>
      </c>
      <c r="I182" t="str">
        <f>"Martinez"</f>
        <v>Martinez</v>
      </c>
      <c r="J182" t="str">
        <f>"Femina"</f>
        <v>Femina</v>
      </c>
      <c r="K182" t="str">
        <f>"Tobias"</f>
        <v>Tobias</v>
      </c>
      <c r="L182" t="str">
        <f>"President"</f>
        <v>President</v>
      </c>
      <c r="M182" t="str">
        <f>"PO Box 7841 SVRB"</f>
        <v>PO Box 7841 SVRB</v>
      </c>
      <c r="N182" t="str">
        <f>""</f>
        <v/>
      </c>
      <c r="O182" t="str">
        <f>"Saipan"</f>
        <v>Saipan</v>
      </c>
      <c r="P182" t="str">
        <f t="shared" si="113"/>
        <v>MP</v>
      </c>
      <c r="Q182" s="4" t="str">
        <f t="shared" si="114"/>
        <v>96950</v>
      </c>
      <c r="R182" t="str">
        <f t="shared" si="90"/>
        <v>UNITED STATES OF AMERICA</v>
      </c>
      <c r="S182" t="str">
        <f>""</f>
        <v/>
      </c>
      <c r="T182" s="5" t="str">
        <f>"16707854777"</f>
        <v>16707854777</v>
      </c>
      <c r="U182" t="str">
        <f>""</f>
        <v/>
      </c>
      <c r="V182" s="5" t="str">
        <f>""</f>
        <v/>
      </c>
      <c r="W182" t="str">
        <f>"minamartinez1965@gmail.com"</f>
        <v>minamartinez1965@gmail.com</v>
      </c>
      <c r="X182" t="str">
        <f>"HPG Construction Co."</f>
        <v>HPG Construction Co.</v>
      </c>
      <c r="Y182" t="str">
        <f>""</f>
        <v/>
      </c>
      <c r="Z182" t="str">
        <f>"PO Box 7841 SVRB"</f>
        <v>PO Box 7841 SVRB</v>
      </c>
      <c r="AA182" t="str">
        <f>""</f>
        <v/>
      </c>
      <c r="AB182" t="str">
        <f>"Saipan"</f>
        <v>Saipan</v>
      </c>
      <c r="AC182" t="str">
        <f t="shared" si="91"/>
        <v>MP</v>
      </c>
      <c r="AD182" t="str">
        <f t="shared" si="118"/>
        <v>96950</v>
      </c>
      <c r="AE182" t="str">
        <f t="shared" si="92"/>
        <v>UNITED STATES OF AMERICA</v>
      </c>
      <c r="AF182" t="str">
        <f>""</f>
        <v/>
      </c>
      <c r="AG182" s="4" t="str">
        <f>"16707854777"</f>
        <v>16707854777</v>
      </c>
      <c r="AH182" t="str">
        <f>""</f>
        <v/>
      </c>
      <c r="AI182" t="str">
        <f>"236115"</f>
        <v>236115</v>
      </c>
      <c r="AJ182" t="s">
        <v>79</v>
      </c>
      <c r="AK182" t="s">
        <v>79</v>
      </c>
      <c r="AL182" t="s">
        <v>80</v>
      </c>
      <c r="AM182" t="s">
        <v>79</v>
      </c>
      <c r="AP182" t="str">
        <f>"Janitors and Cleaners"</f>
        <v>Janitors and Cleaners</v>
      </c>
      <c r="AQ182" t="str">
        <f>"37-2011.00"</f>
        <v>37-2011.00</v>
      </c>
      <c r="AR182" t="str">
        <f>"Janitors and Cleaners, Except Maids and Housekeeping Cleaners"</f>
        <v>Janitors and Cleaners, Except Maids and Housekeeping Cleaners</v>
      </c>
      <c r="AS182" t="str">
        <f>"President"</f>
        <v>President</v>
      </c>
      <c r="AT182" t="s">
        <v>79</v>
      </c>
      <c r="AU182" t="str">
        <f>""</f>
        <v/>
      </c>
      <c r="AV182" t="str">
        <f>""</f>
        <v/>
      </c>
      <c r="AW182" t="s">
        <v>79</v>
      </c>
      <c r="AX182" t="str">
        <f>""</f>
        <v/>
      </c>
      <c r="AY182" t="s">
        <v>81</v>
      </c>
      <c r="BA182" t="s">
        <v>119</v>
      </c>
      <c r="BB182" t="s">
        <v>79</v>
      </c>
      <c r="BD182" t="s">
        <v>79</v>
      </c>
      <c r="BG182" t="s">
        <v>79</v>
      </c>
      <c r="BJ182" t="s">
        <v>1284</v>
      </c>
      <c r="BK182" t="str">
        <f>"Pahong Street"</f>
        <v>Pahong Street</v>
      </c>
      <c r="BL182" t="str">
        <f>"Kagman III"</f>
        <v>Kagman III</v>
      </c>
      <c r="BM182" t="str">
        <f>"Saipan"</f>
        <v>Saipan</v>
      </c>
      <c r="BO182" t="s">
        <v>83</v>
      </c>
      <c r="BP182" s="4" t="str">
        <f t="shared" si="112"/>
        <v>96950</v>
      </c>
      <c r="BQ182" t="s">
        <v>79</v>
      </c>
      <c r="BR182" t="str">
        <f>"37-2011.00"</f>
        <v>37-2011.00</v>
      </c>
      <c r="BS182" t="s">
        <v>313</v>
      </c>
      <c r="BT182" s="3">
        <v>7.99</v>
      </c>
      <c r="BU182" t="s">
        <v>80</v>
      </c>
      <c r="BV182" t="s">
        <v>90</v>
      </c>
      <c r="BW182" t="s">
        <v>92</v>
      </c>
      <c r="BZ182" s="1">
        <v>45107</v>
      </c>
    </row>
    <row r="183" spans="1:78" ht="15" customHeight="1" x14ac:dyDescent="0.25">
      <c r="A183" t="s">
        <v>1285</v>
      </c>
      <c r="B183" t="s">
        <v>94</v>
      </c>
      <c r="C183" s="1">
        <v>44860</v>
      </c>
      <c r="D183" s="1">
        <v>44900</v>
      </c>
      <c r="H183" t="s">
        <v>78</v>
      </c>
      <c r="I183" t="str">
        <f>"Gagaring"</f>
        <v>Gagaring</v>
      </c>
      <c r="J183" t="str">
        <f>"Aida"</f>
        <v>Aida</v>
      </c>
      <c r="K183" t="str">
        <f>"Madreo"</f>
        <v>Madreo</v>
      </c>
      <c r="L183" t="str">
        <f>"President"</f>
        <v>President</v>
      </c>
      <c r="M183" t="str">
        <f>"PO Box 503894"</f>
        <v>PO Box 503894</v>
      </c>
      <c r="N183" t="str">
        <f>"Dama Di Noche St, Garapan"</f>
        <v>Dama Di Noche St, Garapan</v>
      </c>
      <c r="O183" t="str">
        <f>"Saipan"</f>
        <v>Saipan</v>
      </c>
      <c r="P183" t="str">
        <f t="shared" si="113"/>
        <v>MP</v>
      </c>
      <c r="Q183" s="4" t="str">
        <f t="shared" si="114"/>
        <v>96950</v>
      </c>
      <c r="R183" t="str">
        <f t="shared" si="90"/>
        <v>UNITED STATES OF AMERICA</v>
      </c>
      <c r="S183" t="str">
        <f>""</f>
        <v/>
      </c>
      <c r="T183" s="5" t="str">
        <f>"16702332374"</f>
        <v>16702332374</v>
      </c>
      <c r="U183" t="str">
        <f>""</f>
        <v/>
      </c>
      <c r="V183" s="5" t="str">
        <f>""</f>
        <v/>
      </c>
      <c r="W183" t="str">
        <f>"agaenterprises9@gmail.com"</f>
        <v>agaenterprises9@gmail.com</v>
      </c>
      <c r="X183" t="str">
        <f>"Aga Enterprises, Inc."</f>
        <v>Aga Enterprises, Inc.</v>
      </c>
      <c r="Y183" t="str">
        <f>"Beauty Salon/Janitorial/Telecom Contractor/Room Rental"</f>
        <v>Beauty Salon/Janitorial/Telecom Contractor/Room Rental</v>
      </c>
      <c r="Z183" t="str">
        <f>"PO Box 503894"</f>
        <v>PO Box 503894</v>
      </c>
      <c r="AA183" t="str">
        <f>"Dama Di Noche St. Garapan"</f>
        <v>Dama Di Noche St. Garapan</v>
      </c>
      <c r="AB183" t="str">
        <f>"Saipan"</f>
        <v>Saipan</v>
      </c>
      <c r="AC183" t="str">
        <f t="shared" si="91"/>
        <v>MP</v>
      </c>
      <c r="AD183" t="str">
        <f t="shared" si="118"/>
        <v>96950</v>
      </c>
      <c r="AE183" t="str">
        <f t="shared" si="92"/>
        <v>UNITED STATES OF AMERICA</v>
      </c>
      <c r="AF183" t="str">
        <f>""</f>
        <v/>
      </c>
      <c r="AG183" s="4" t="str">
        <f>"16702332374"</f>
        <v>16702332374</v>
      </c>
      <c r="AH183" t="str">
        <f>""</f>
        <v/>
      </c>
      <c r="AI183" t="str">
        <f>"812112"</f>
        <v>812112</v>
      </c>
      <c r="AJ183" t="s">
        <v>79</v>
      </c>
      <c r="AK183" t="s">
        <v>79</v>
      </c>
      <c r="AL183" t="s">
        <v>80</v>
      </c>
      <c r="AM183" t="s">
        <v>79</v>
      </c>
      <c r="AP183" t="str">
        <f>"Beautician"</f>
        <v>Beautician</v>
      </c>
      <c r="AQ183" t="str">
        <f>"39-5012.00"</f>
        <v>39-5012.00</v>
      </c>
      <c r="AR183" t="str">
        <f>"Hairdressers, Hairstylists, and Cosmetologists"</f>
        <v>Hairdressers, Hairstylists, and Cosmetologists</v>
      </c>
      <c r="AS183" t="str">
        <f>"General Manager"</f>
        <v>General Manager</v>
      </c>
      <c r="AT183" t="s">
        <v>79</v>
      </c>
      <c r="AU183" t="str">
        <f>""</f>
        <v/>
      </c>
      <c r="AV183" t="str">
        <f>""</f>
        <v/>
      </c>
      <c r="AW183" t="s">
        <v>79</v>
      </c>
      <c r="AX183" t="str">
        <f>""</f>
        <v/>
      </c>
      <c r="AY183" t="s">
        <v>84</v>
      </c>
      <c r="BA183" t="s">
        <v>80</v>
      </c>
      <c r="BB183" t="s">
        <v>79</v>
      </c>
      <c r="BD183" t="s">
        <v>79</v>
      </c>
      <c r="BG183" t="s">
        <v>82</v>
      </c>
      <c r="BH183">
        <v>12</v>
      </c>
      <c r="BI183" t="s">
        <v>1009</v>
      </c>
      <c r="BJ183" t="s">
        <v>1286</v>
      </c>
      <c r="BK183" t="str">
        <f>"Dama Di Noche St., Garapan"</f>
        <v>Dama Di Noche St., Garapan</v>
      </c>
      <c r="BL183" t="str">
        <f>""</f>
        <v/>
      </c>
      <c r="BM183" t="str">
        <f>"Saipan"</f>
        <v>Saipan</v>
      </c>
      <c r="BO183" t="s">
        <v>83</v>
      </c>
      <c r="BP183" s="4" t="str">
        <f t="shared" ref="BP183:BP214" si="119">"96950"</f>
        <v>96950</v>
      </c>
      <c r="BQ183" t="s">
        <v>79</v>
      </c>
      <c r="BR183" t="str">
        <f>"39-5012.00"</f>
        <v>39-5012.00</v>
      </c>
      <c r="BS183" t="s">
        <v>184</v>
      </c>
      <c r="BT183" s="3">
        <v>7.88</v>
      </c>
      <c r="BU183" t="s">
        <v>80</v>
      </c>
      <c r="BV183" t="s">
        <v>90</v>
      </c>
      <c r="BW183" t="s">
        <v>92</v>
      </c>
      <c r="BZ183" s="1">
        <v>45107</v>
      </c>
    </row>
    <row r="184" spans="1:78" ht="15" customHeight="1" x14ac:dyDescent="0.25">
      <c r="A184" t="s">
        <v>1287</v>
      </c>
      <c r="B184" t="s">
        <v>94</v>
      </c>
      <c r="C184" s="1">
        <v>44860</v>
      </c>
      <c r="D184" s="1">
        <v>44900</v>
      </c>
      <c r="H184" t="s">
        <v>78</v>
      </c>
      <c r="I184" t="str">
        <f>"AVENDANO"</f>
        <v>AVENDANO</v>
      </c>
      <c r="J184" t="str">
        <f>"FIDELISA"</f>
        <v>FIDELISA</v>
      </c>
      <c r="K184" t="str">
        <f>"CAL"</f>
        <v>CAL</v>
      </c>
      <c r="L184" t="str">
        <f>"AUTHORIZED REPRESENTATIVE"</f>
        <v>AUTHORIZED REPRESENTATIVE</v>
      </c>
      <c r="M184" t="str">
        <f>"CHALAN PALE ARNOLD, CHALAN LAU LAU"</f>
        <v>CHALAN PALE ARNOLD, CHALAN LAU LAU</v>
      </c>
      <c r="N184" t="str">
        <f>"P.O. BOX 503024"</f>
        <v>P.O. BOX 503024</v>
      </c>
      <c r="O184" t="str">
        <f>"SAIPAN"</f>
        <v>SAIPAN</v>
      </c>
      <c r="P184" t="str">
        <f t="shared" si="113"/>
        <v>MP</v>
      </c>
      <c r="Q184" s="4" t="str">
        <f t="shared" si="114"/>
        <v>96950</v>
      </c>
      <c r="R184" t="str">
        <f t="shared" si="90"/>
        <v>UNITED STATES OF AMERICA</v>
      </c>
      <c r="S184" t="str">
        <f t="shared" ref="S184:S190" si="120">"N/A"</f>
        <v>N/A</v>
      </c>
      <c r="T184" s="5" t="str">
        <f>"16702346278"</f>
        <v>16702346278</v>
      </c>
      <c r="U184" t="str">
        <f>""</f>
        <v/>
      </c>
      <c r="V184" s="5" t="str">
        <f>""</f>
        <v/>
      </c>
      <c r="W184" t="str">
        <f>"cnmicw12019@gmail.com"</f>
        <v>cnmicw12019@gmail.com</v>
      </c>
      <c r="X184" t="str">
        <f>"ART MAN CORPORATION"</f>
        <v>ART MAN CORPORATION</v>
      </c>
      <c r="Y184" t="str">
        <f>""</f>
        <v/>
      </c>
      <c r="Z184" t="str">
        <f>"CHALAN PALE ARNOLD, LOWER BASE DRIVE"</f>
        <v>CHALAN PALE ARNOLD, LOWER BASE DRIVE</v>
      </c>
      <c r="AA184" t="str">
        <f>"PMB 122 BOX 10000"</f>
        <v>PMB 122 BOX 10000</v>
      </c>
      <c r="AB184" t="str">
        <f t="shared" ref="AB184:AB205" si="121">"SAIPAN"</f>
        <v>SAIPAN</v>
      </c>
      <c r="AC184" t="str">
        <f t="shared" si="91"/>
        <v>MP</v>
      </c>
      <c r="AD184" t="str">
        <f t="shared" si="118"/>
        <v>96950</v>
      </c>
      <c r="AE184" t="str">
        <f t="shared" si="92"/>
        <v>UNITED STATES OF AMERICA</v>
      </c>
      <c r="AF184" t="str">
        <f t="shared" ref="AF184:AF190" si="122">"N/A"</f>
        <v>N/A</v>
      </c>
      <c r="AG184" s="4" t="str">
        <f>"16702348079"</f>
        <v>16702348079</v>
      </c>
      <c r="AH184" t="str">
        <f>""</f>
        <v/>
      </c>
      <c r="AI184" t="str">
        <f>"56299"</f>
        <v>56299</v>
      </c>
      <c r="AJ184" t="s">
        <v>79</v>
      </c>
      <c r="AK184" t="s">
        <v>79</v>
      </c>
      <c r="AL184" t="s">
        <v>80</v>
      </c>
      <c r="AM184" t="s">
        <v>79</v>
      </c>
      <c r="AP184" t="str">
        <f>"RECYCLING AND RECLAMATION WORKER"</f>
        <v>RECYCLING AND RECLAMATION WORKER</v>
      </c>
      <c r="AQ184" t="str">
        <f>"53-7062.04"</f>
        <v>53-7062.04</v>
      </c>
      <c r="AR184" t="str">
        <f>"Recycling and Reclamation Workers"</f>
        <v>Recycling and Reclamation Workers</v>
      </c>
      <c r="AS184" t="str">
        <f>"GENERAL MANAGER"</f>
        <v>GENERAL MANAGER</v>
      </c>
      <c r="AT184" t="s">
        <v>79</v>
      </c>
      <c r="AU184" t="str">
        <f>""</f>
        <v/>
      </c>
      <c r="AV184" t="str">
        <f>""</f>
        <v/>
      </c>
      <c r="AW184" t="s">
        <v>79</v>
      </c>
      <c r="AX184" t="str">
        <f>""</f>
        <v/>
      </c>
      <c r="AY184" t="s">
        <v>84</v>
      </c>
      <c r="BA184" t="s">
        <v>80</v>
      </c>
      <c r="BB184" t="s">
        <v>79</v>
      </c>
      <c r="BD184" t="s">
        <v>79</v>
      </c>
      <c r="BG184" t="s">
        <v>82</v>
      </c>
      <c r="BH184">
        <v>12</v>
      </c>
      <c r="BI184" t="s">
        <v>1288</v>
      </c>
      <c r="BJ184" t="s">
        <v>1289</v>
      </c>
      <c r="BK184" t="str">
        <f>"CHALAN PALE ARNOLD, LOWER BASE DRIVE"</f>
        <v>CHALAN PALE ARNOLD, LOWER BASE DRIVE</v>
      </c>
      <c r="BL184" t="str">
        <f>"N/A"</f>
        <v>N/A</v>
      </c>
      <c r="BM184" t="str">
        <f t="shared" ref="BM184:BM204" si="123">"SAIPAN"</f>
        <v>SAIPAN</v>
      </c>
      <c r="BO184" t="s">
        <v>83</v>
      </c>
      <c r="BP184" s="4" t="str">
        <f t="shared" si="119"/>
        <v>96950</v>
      </c>
      <c r="BQ184" t="s">
        <v>79</v>
      </c>
      <c r="BR184" t="str">
        <f>"53-7062.04"</f>
        <v>53-7062.04</v>
      </c>
      <c r="BS184" t="s">
        <v>1290</v>
      </c>
      <c r="BT184" s="3">
        <v>8.31</v>
      </c>
      <c r="BU184" t="s">
        <v>80</v>
      </c>
      <c r="BV184" t="s">
        <v>90</v>
      </c>
      <c r="BW184" t="s">
        <v>92</v>
      </c>
      <c r="BZ184" s="1">
        <v>45107</v>
      </c>
    </row>
    <row r="185" spans="1:78" ht="15" customHeight="1" x14ac:dyDescent="0.25">
      <c r="A185" t="s">
        <v>1291</v>
      </c>
      <c r="B185" t="s">
        <v>94</v>
      </c>
      <c r="C185" s="1">
        <v>44860</v>
      </c>
      <c r="D185" s="1">
        <v>44900</v>
      </c>
      <c r="H185" t="s">
        <v>78</v>
      </c>
      <c r="I185" t="str">
        <f>"HOSSAIN "</f>
        <v xml:space="preserve">HOSSAIN </v>
      </c>
      <c r="J185" t="str">
        <f>"SALVACION"</f>
        <v>SALVACION</v>
      </c>
      <c r="K185" t="str">
        <f>"NAPA"</f>
        <v>NAPA</v>
      </c>
      <c r="L185" t="str">
        <f>"SECRETARY"</f>
        <v>SECRETARY</v>
      </c>
      <c r="M185" t="str">
        <f>"PMB 108, PO BOX 10001"</f>
        <v>PMB 108, PO BOX 10001</v>
      </c>
      <c r="N185" t="str">
        <f>""</f>
        <v/>
      </c>
      <c r="O185" t="str">
        <f>"SAIPAN"</f>
        <v>SAIPAN</v>
      </c>
      <c r="P185" t="str">
        <f t="shared" si="113"/>
        <v>MP</v>
      </c>
      <c r="Q185" s="4" t="str">
        <f t="shared" si="114"/>
        <v>96950</v>
      </c>
      <c r="R185" t="str">
        <f t="shared" si="90"/>
        <v>UNITED STATES OF AMERICA</v>
      </c>
      <c r="S185" t="str">
        <f t="shared" si="120"/>
        <v>N/A</v>
      </c>
      <c r="T185" s="5" t="str">
        <f>"16702330880"</f>
        <v>16702330880</v>
      </c>
      <c r="U185" t="str">
        <f>""</f>
        <v/>
      </c>
      <c r="V185" s="5" t="str">
        <f>""</f>
        <v/>
      </c>
      <c r="W185" t="str">
        <f>"globalkscorp32@gmail.com"</f>
        <v>globalkscorp32@gmail.com</v>
      </c>
      <c r="X185" t="str">
        <f>"GLOBAL KS CORPORATION"</f>
        <v>GLOBAL KS CORPORATION</v>
      </c>
      <c r="Y185" t="str">
        <f>""</f>
        <v/>
      </c>
      <c r="Z185" t="str">
        <f>"PMB 108, PO BOX 10001 "</f>
        <v xml:space="preserve">PMB 108, PO BOX 10001 </v>
      </c>
      <c r="AA185" t="str">
        <f>""</f>
        <v/>
      </c>
      <c r="AB185" t="str">
        <f t="shared" si="121"/>
        <v>SAIPAN</v>
      </c>
      <c r="AC185" t="str">
        <f t="shared" si="91"/>
        <v>MP</v>
      </c>
      <c r="AD185" t="str">
        <f t="shared" si="118"/>
        <v>96950</v>
      </c>
      <c r="AE185" t="str">
        <f t="shared" si="92"/>
        <v>UNITED STATES OF AMERICA</v>
      </c>
      <c r="AF185" t="str">
        <f t="shared" si="122"/>
        <v>N/A</v>
      </c>
      <c r="AG185" s="4" t="str">
        <f>"16702330880"</f>
        <v>16702330880</v>
      </c>
      <c r="AH185" t="str">
        <f>""</f>
        <v/>
      </c>
      <c r="AI185" t="str">
        <f>"56179"</f>
        <v>56179</v>
      </c>
      <c r="AJ185" t="s">
        <v>79</v>
      </c>
      <c r="AK185" t="s">
        <v>79</v>
      </c>
      <c r="AL185" t="s">
        <v>80</v>
      </c>
      <c r="AM185" t="s">
        <v>79</v>
      </c>
      <c r="AP185" t="str">
        <f>"MAINTENANCE AND REPAIR WORKERS"</f>
        <v>MAINTENANCE AND REPAIR WORKERS</v>
      </c>
      <c r="AQ185" t="str">
        <f>"49-9071.00"</f>
        <v>49-9071.00</v>
      </c>
      <c r="AR185" t="str">
        <f>"Maintenance and Repair Workers, General"</f>
        <v>Maintenance and Repair Workers, General</v>
      </c>
      <c r="AS185" t="str">
        <f>"MANAGER"</f>
        <v>MANAGER</v>
      </c>
      <c r="AT185" t="s">
        <v>79</v>
      </c>
      <c r="AU185" t="str">
        <f>""</f>
        <v/>
      </c>
      <c r="AV185" t="str">
        <f>""</f>
        <v/>
      </c>
      <c r="AW185" t="s">
        <v>79</v>
      </c>
      <c r="AX185" t="str">
        <f>""</f>
        <v/>
      </c>
      <c r="AY185" t="s">
        <v>81</v>
      </c>
      <c r="BA185" t="s">
        <v>80</v>
      </c>
      <c r="BB185" t="s">
        <v>79</v>
      </c>
      <c r="BD185" t="s">
        <v>79</v>
      </c>
      <c r="BG185" t="s">
        <v>82</v>
      </c>
      <c r="BH185">
        <v>24</v>
      </c>
      <c r="BI185" t="s">
        <v>303</v>
      </c>
      <c r="BJ185" t="s">
        <v>115</v>
      </c>
      <c r="BK185" t="str">
        <f>"BEACH ROAD CORNER ALUS STREET"</f>
        <v>BEACH ROAD CORNER ALUS STREET</v>
      </c>
      <c r="BL185" t="str">
        <f>"GARAPAN"</f>
        <v>GARAPAN</v>
      </c>
      <c r="BM185" t="str">
        <f t="shared" si="123"/>
        <v>SAIPAN</v>
      </c>
      <c r="BO185" t="s">
        <v>83</v>
      </c>
      <c r="BP185" s="4" t="str">
        <f t="shared" si="119"/>
        <v>96950</v>
      </c>
      <c r="BQ185" t="s">
        <v>82</v>
      </c>
      <c r="BR185" t="str">
        <f>"49-9071.00"</f>
        <v>49-9071.00</v>
      </c>
      <c r="BS185" t="s">
        <v>146</v>
      </c>
      <c r="BT185" s="3">
        <v>9.19</v>
      </c>
      <c r="BU185" t="s">
        <v>80</v>
      </c>
      <c r="BV185" t="s">
        <v>90</v>
      </c>
      <c r="BW185" t="s">
        <v>92</v>
      </c>
      <c r="BZ185" s="1">
        <v>45107</v>
      </c>
    </row>
    <row r="186" spans="1:78" ht="15" customHeight="1" x14ac:dyDescent="0.25">
      <c r="A186" t="s">
        <v>1292</v>
      </c>
      <c r="B186" t="s">
        <v>94</v>
      </c>
      <c r="C186" s="1">
        <v>44860</v>
      </c>
      <c r="D186" s="1">
        <v>44900</v>
      </c>
      <c r="H186" t="s">
        <v>78</v>
      </c>
      <c r="I186" t="str">
        <f>"HOSSAIN"</f>
        <v>HOSSAIN</v>
      </c>
      <c r="J186" t="str">
        <f>"SALVACION "</f>
        <v xml:space="preserve">SALVACION </v>
      </c>
      <c r="K186" t="str">
        <f>"NAPA"</f>
        <v>NAPA</v>
      </c>
      <c r="L186" t="str">
        <f>"SECRETARY"</f>
        <v>SECRETARY</v>
      </c>
      <c r="M186" t="str">
        <f>"PMB 108, PO BOX 10001"</f>
        <v>PMB 108, PO BOX 10001</v>
      </c>
      <c r="N186" t="str">
        <f>""</f>
        <v/>
      </c>
      <c r="O186" t="str">
        <f>"SAIPAN"</f>
        <v>SAIPAN</v>
      </c>
      <c r="P186" t="str">
        <f t="shared" si="113"/>
        <v>MP</v>
      </c>
      <c r="Q186" s="4" t="str">
        <f t="shared" si="114"/>
        <v>96950</v>
      </c>
      <c r="R186" t="str">
        <f t="shared" si="90"/>
        <v>UNITED STATES OF AMERICA</v>
      </c>
      <c r="S186" t="str">
        <f t="shared" si="120"/>
        <v>N/A</v>
      </c>
      <c r="T186" s="5" t="str">
        <f>"16702330880"</f>
        <v>16702330880</v>
      </c>
      <c r="U186" t="str">
        <f>""</f>
        <v/>
      </c>
      <c r="V186" s="5" t="str">
        <f>""</f>
        <v/>
      </c>
      <c r="W186" t="str">
        <f>"globalkscorp32@gmail.com"</f>
        <v>globalkscorp32@gmail.com</v>
      </c>
      <c r="X186" t="str">
        <f>"GLOBAL KS CORPORATION"</f>
        <v>GLOBAL KS CORPORATION</v>
      </c>
      <c r="Y186" t="str">
        <f>""</f>
        <v/>
      </c>
      <c r="Z186" t="str">
        <f>"PMB 108, PO BOX 10001"</f>
        <v>PMB 108, PO BOX 10001</v>
      </c>
      <c r="AA186" t="str">
        <f>""</f>
        <v/>
      </c>
      <c r="AB186" t="str">
        <f t="shared" si="121"/>
        <v>SAIPAN</v>
      </c>
      <c r="AC186" t="str">
        <f t="shared" si="91"/>
        <v>MP</v>
      </c>
      <c r="AD186" t="str">
        <f t="shared" si="118"/>
        <v>96950</v>
      </c>
      <c r="AE186" t="str">
        <f t="shared" si="92"/>
        <v>UNITED STATES OF AMERICA</v>
      </c>
      <c r="AF186" t="str">
        <f t="shared" si="122"/>
        <v>N/A</v>
      </c>
      <c r="AG186" s="4" t="str">
        <f>"16702330880"</f>
        <v>16702330880</v>
      </c>
      <c r="AH186" t="str">
        <f>""</f>
        <v/>
      </c>
      <c r="AI186" t="str">
        <f>"56179"</f>
        <v>56179</v>
      </c>
      <c r="AJ186" t="s">
        <v>79</v>
      </c>
      <c r="AK186" t="s">
        <v>79</v>
      </c>
      <c r="AL186" t="s">
        <v>80</v>
      </c>
      <c r="AM186" t="s">
        <v>79</v>
      </c>
      <c r="AP186" t="str">
        <f>"BUILDING MAINTENANCE"</f>
        <v>BUILDING MAINTENANCE</v>
      </c>
      <c r="AQ186" t="str">
        <f>"49-9071.00"</f>
        <v>49-9071.00</v>
      </c>
      <c r="AR186" t="str">
        <f>"Maintenance and Repair Workers, General"</f>
        <v>Maintenance and Repair Workers, General</v>
      </c>
      <c r="AS186" t="str">
        <f>"MANAGER"</f>
        <v>MANAGER</v>
      </c>
      <c r="AT186" t="s">
        <v>79</v>
      </c>
      <c r="AU186" t="str">
        <f>""</f>
        <v/>
      </c>
      <c r="AV186" t="str">
        <f>""</f>
        <v/>
      </c>
      <c r="AW186" t="s">
        <v>79</v>
      </c>
      <c r="AX186" t="str">
        <f>""</f>
        <v/>
      </c>
      <c r="AY186" t="s">
        <v>81</v>
      </c>
      <c r="BA186" t="s">
        <v>80</v>
      </c>
      <c r="BB186" t="s">
        <v>79</v>
      </c>
      <c r="BD186" t="s">
        <v>79</v>
      </c>
      <c r="BG186" t="s">
        <v>82</v>
      </c>
      <c r="BH186">
        <v>24</v>
      </c>
      <c r="BI186" t="s">
        <v>303</v>
      </c>
      <c r="BJ186" t="s">
        <v>115</v>
      </c>
      <c r="BK186" t="str">
        <f>"BEACH ROAD CORNER ALUS STREET"</f>
        <v>BEACH ROAD CORNER ALUS STREET</v>
      </c>
      <c r="BL186" t="str">
        <f>"GARAPAN"</f>
        <v>GARAPAN</v>
      </c>
      <c r="BM186" t="str">
        <f t="shared" si="123"/>
        <v>SAIPAN</v>
      </c>
      <c r="BO186" t="s">
        <v>83</v>
      </c>
      <c r="BP186" s="4" t="str">
        <f t="shared" si="119"/>
        <v>96950</v>
      </c>
      <c r="BQ186" t="s">
        <v>82</v>
      </c>
      <c r="BR186" t="str">
        <f>"49-9071.00"</f>
        <v>49-9071.00</v>
      </c>
      <c r="BS186" t="s">
        <v>146</v>
      </c>
      <c r="BT186" s="3">
        <v>9.19</v>
      </c>
      <c r="BU186" t="s">
        <v>80</v>
      </c>
      <c r="BV186" t="s">
        <v>90</v>
      </c>
      <c r="BW186" t="s">
        <v>92</v>
      </c>
      <c r="BZ186" s="1">
        <v>45107</v>
      </c>
    </row>
    <row r="187" spans="1:78" ht="15" customHeight="1" x14ac:dyDescent="0.25">
      <c r="A187" t="s">
        <v>1219</v>
      </c>
      <c r="B187" t="s">
        <v>94</v>
      </c>
      <c r="C187" s="1">
        <v>44859</v>
      </c>
      <c r="D187" s="1">
        <v>44900</v>
      </c>
      <c r="H187" t="s">
        <v>78</v>
      </c>
      <c r="I187" t="str">
        <f>"RAMOS"</f>
        <v>RAMOS</v>
      </c>
      <c r="J187" t="str">
        <f>"GIA"</f>
        <v>GIA</v>
      </c>
      <c r="K187" t="str">
        <f>"BLANCAFLOR"</f>
        <v>BLANCAFLOR</v>
      </c>
      <c r="L187" t="str">
        <f t="shared" ref="L187:L202" si="124">"PRESIDENT"</f>
        <v>PRESIDENT</v>
      </c>
      <c r="M187" t="str">
        <f>"PO BOX 9663"</f>
        <v>PO BOX 9663</v>
      </c>
      <c r="N187" t="str">
        <f>""</f>
        <v/>
      </c>
      <c r="O187" t="str">
        <f>"TAMUNING"</f>
        <v>TAMUNING</v>
      </c>
      <c r="P187" t="str">
        <f>"GU"</f>
        <v>GU</v>
      </c>
      <c r="Q187" s="4" t="str">
        <f>"96931"</f>
        <v>96931</v>
      </c>
      <c r="R187" t="str">
        <f t="shared" si="90"/>
        <v>UNITED STATES OF AMERICA</v>
      </c>
      <c r="S187" t="str">
        <f t="shared" si="120"/>
        <v>N/A</v>
      </c>
      <c r="T187" s="5" t="str">
        <f>"16716498746"</f>
        <v>16716498746</v>
      </c>
      <c r="U187" t="str">
        <f>"203"</f>
        <v>203</v>
      </c>
      <c r="V187" s="5" t="str">
        <f>""</f>
        <v/>
      </c>
      <c r="W187" t="str">
        <f>"admin@hhcare.co"</f>
        <v>admin@hhcare.co</v>
      </c>
      <c r="X187" t="str">
        <f>"TRI ENTERPRISES, INC."</f>
        <v>TRI ENTERPRISES, INC.</v>
      </c>
      <c r="Y187" t="str">
        <f>"Marianas Visiting Nurses"</f>
        <v>Marianas Visiting Nurses</v>
      </c>
      <c r="Z187" t="str">
        <f>"BRI BUILDING KOPA DI ORU ST. GARAPAN"</f>
        <v>BRI BUILDING KOPA DI ORU ST. GARAPAN</v>
      </c>
      <c r="AA187" t="str">
        <f>"SUITE 104"</f>
        <v>SUITE 104</v>
      </c>
      <c r="AB187" t="str">
        <f t="shared" si="121"/>
        <v>SAIPAN</v>
      </c>
      <c r="AC187" t="str">
        <f t="shared" si="91"/>
        <v>MP</v>
      </c>
      <c r="AD187" t="str">
        <f t="shared" si="118"/>
        <v>96950</v>
      </c>
      <c r="AE187" t="str">
        <f t="shared" si="92"/>
        <v>UNITED STATES OF AMERICA</v>
      </c>
      <c r="AF187" t="str">
        <f t="shared" si="122"/>
        <v>N/A</v>
      </c>
      <c r="AG187" s="4" t="str">
        <f>"16703236877"</f>
        <v>16703236877</v>
      </c>
      <c r="AH187" t="str">
        <f>""</f>
        <v/>
      </c>
      <c r="AI187" t="str">
        <f>"62161"</f>
        <v>62161</v>
      </c>
      <c r="AJ187" t="s">
        <v>79</v>
      </c>
      <c r="AK187" t="s">
        <v>79</v>
      </c>
      <c r="AL187" t="s">
        <v>80</v>
      </c>
      <c r="AM187" t="s">
        <v>79</v>
      </c>
      <c r="AP187" t="str">
        <f>"FIRST LINE SUPERVISORS OF NON-RETAIL SALES WORKERS"</f>
        <v>FIRST LINE SUPERVISORS OF NON-RETAIL SALES WORKERS</v>
      </c>
      <c r="AQ187" t="str">
        <f>"41-1012.00"</f>
        <v>41-1012.00</v>
      </c>
      <c r="AR187" t="str">
        <f>"First-Line Supervisors of Non-Retail Sales Workers"</f>
        <v>First-Line Supervisors of Non-Retail Sales Workers</v>
      </c>
      <c r="AS187" t="str">
        <f>"OFFICE MANAGER"</f>
        <v>OFFICE MANAGER</v>
      </c>
      <c r="AT187" t="s">
        <v>82</v>
      </c>
      <c r="AU187" t="str">
        <f>"3"</f>
        <v>3</v>
      </c>
      <c r="AV187" t="str">
        <f>"Subordinate"</f>
        <v>Subordinate</v>
      </c>
      <c r="AW187" t="s">
        <v>79</v>
      </c>
      <c r="AX187" t="str">
        <f>""</f>
        <v/>
      </c>
      <c r="AY187" t="s">
        <v>124</v>
      </c>
      <c r="BA187" t="s">
        <v>835</v>
      </c>
      <c r="BB187" t="s">
        <v>79</v>
      </c>
      <c r="BD187" t="s">
        <v>79</v>
      </c>
      <c r="BG187" t="s">
        <v>82</v>
      </c>
      <c r="BH187">
        <v>12</v>
      </c>
      <c r="BI187" t="s">
        <v>834</v>
      </c>
      <c r="BJ187" t="s">
        <v>115</v>
      </c>
      <c r="BK187" t="str">
        <f>"BRI BUILDING KOPA DI ORU ST. GARAPAN"</f>
        <v>BRI BUILDING KOPA DI ORU ST. GARAPAN</v>
      </c>
      <c r="BL187" t="str">
        <f>"SUITE 104"</f>
        <v>SUITE 104</v>
      </c>
      <c r="BM187" t="str">
        <f t="shared" si="123"/>
        <v>SAIPAN</v>
      </c>
      <c r="BO187" t="s">
        <v>83</v>
      </c>
      <c r="BP187" s="4" t="str">
        <f t="shared" si="119"/>
        <v>96950</v>
      </c>
      <c r="BQ187" t="s">
        <v>79</v>
      </c>
      <c r="BR187" t="str">
        <f>"41-1012.00"</f>
        <v>41-1012.00</v>
      </c>
      <c r="BS187" t="s">
        <v>836</v>
      </c>
      <c r="BT187" s="3">
        <v>10.49</v>
      </c>
      <c r="BU187" t="s">
        <v>80</v>
      </c>
      <c r="BV187" t="s">
        <v>90</v>
      </c>
      <c r="BW187" t="s">
        <v>92</v>
      </c>
      <c r="BZ187" s="1">
        <v>45107</v>
      </c>
    </row>
    <row r="188" spans="1:78" ht="15" customHeight="1" x14ac:dyDescent="0.25">
      <c r="A188" t="s">
        <v>1220</v>
      </c>
      <c r="B188" t="s">
        <v>94</v>
      </c>
      <c r="C188" s="1">
        <v>44859</v>
      </c>
      <c r="D188" s="1">
        <v>44900</v>
      </c>
      <c r="H188" t="s">
        <v>78</v>
      </c>
      <c r="I188" t="str">
        <f>"RAMOS"</f>
        <v>RAMOS</v>
      </c>
      <c r="J188" t="str">
        <f>"GIA"</f>
        <v>GIA</v>
      </c>
      <c r="K188" t="str">
        <f>"BLANCAFLOR"</f>
        <v>BLANCAFLOR</v>
      </c>
      <c r="L188" t="str">
        <f t="shared" si="124"/>
        <v>PRESIDENT</v>
      </c>
      <c r="M188" t="str">
        <f>"PO BOX 9663"</f>
        <v>PO BOX 9663</v>
      </c>
      <c r="N188" t="str">
        <f>""</f>
        <v/>
      </c>
      <c r="O188" t="str">
        <f>"TAMUNING"</f>
        <v>TAMUNING</v>
      </c>
      <c r="P188" t="str">
        <f>"GU"</f>
        <v>GU</v>
      </c>
      <c r="Q188" s="4" t="str">
        <f>"96931"</f>
        <v>96931</v>
      </c>
      <c r="R188" t="str">
        <f t="shared" si="90"/>
        <v>UNITED STATES OF AMERICA</v>
      </c>
      <c r="S188" t="str">
        <f t="shared" si="120"/>
        <v>N/A</v>
      </c>
      <c r="T188" s="5" t="str">
        <f>"16716498746"</f>
        <v>16716498746</v>
      </c>
      <c r="U188" t="str">
        <f>""</f>
        <v/>
      </c>
      <c r="V188" s="5" t="str">
        <f>""</f>
        <v/>
      </c>
      <c r="W188" t="str">
        <f>"admin@hhcare.co"</f>
        <v>admin@hhcare.co</v>
      </c>
      <c r="X188" t="str">
        <f>"TRI ENTERPRISES, INC."</f>
        <v>TRI ENTERPRISES, INC.</v>
      </c>
      <c r="Y188" t="str">
        <f>"Marianas Visiting Nurses"</f>
        <v>Marianas Visiting Nurses</v>
      </c>
      <c r="Z188" t="str">
        <f>"BRI BUILDING KOPA DI ORU ST. GARAPAN"</f>
        <v>BRI BUILDING KOPA DI ORU ST. GARAPAN</v>
      </c>
      <c r="AA188" t="str">
        <f>"SUITE 104"</f>
        <v>SUITE 104</v>
      </c>
      <c r="AB188" t="str">
        <f t="shared" si="121"/>
        <v>SAIPAN</v>
      </c>
      <c r="AC188" t="str">
        <f t="shared" si="91"/>
        <v>MP</v>
      </c>
      <c r="AD188" t="str">
        <f t="shared" si="118"/>
        <v>96950</v>
      </c>
      <c r="AE188" t="str">
        <f t="shared" si="92"/>
        <v>UNITED STATES OF AMERICA</v>
      </c>
      <c r="AF188" t="str">
        <f t="shared" si="122"/>
        <v>N/A</v>
      </c>
      <c r="AG188" s="4" t="str">
        <f>"16703236877"</f>
        <v>16703236877</v>
      </c>
      <c r="AH188" t="str">
        <f>""</f>
        <v/>
      </c>
      <c r="AI188" t="str">
        <f>"62161"</f>
        <v>62161</v>
      </c>
      <c r="AJ188" t="s">
        <v>79</v>
      </c>
      <c r="AK188" t="s">
        <v>79</v>
      </c>
      <c r="AL188" t="s">
        <v>80</v>
      </c>
      <c r="AM188" t="s">
        <v>79</v>
      </c>
      <c r="AP188" t="str">
        <f>"MAINTENANCE REPAIR WORKERS, GENERAL"</f>
        <v>MAINTENANCE REPAIR WORKERS, GENERAL</v>
      </c>
      <c r="AQ188" t="str">
        <f>"49-9071.00"</f>
        <v>49-9071.00</v>
      </c>
      <c r="AR188" t="str">
        <f>"Maintenance and Repair Workers, General"</f>
        <v>Maintenance and Repair Workers, General</v>
      </c>
      <c r="AS188" t="str">
        <f>"OFFICE MANAGER"</f>
        <v>OFFICE MANAGER</v>
      </c>
      <c r="AT188" t="s">
        <v>79</v>
      </c>
      <c r="AU188" t="str">
        <f>""</f>
        <v/>
      </c>
      <c r="AV188" t="str">
        <f>""</f>
        <v/>
      </c>
      <c r="AW188" t="s">
        <v>79</v>
      </c>
      <c r="AX188" t="str">
        <f>""</f>
        <v/>
      </c>
      <c r="AY188" t="s">
        <v>84</v>
      </c>
      <c r="BA188" t="s">
        <v>80</v>
      </c>
      <c r="BB188" t="s">
        <v>79</v>
      </c>
      <c r="BD188" t="s">
        <v>79</v>
      </c>
      <c r="BG188" t="s">
        <v>82</v>
      </c>
      <c r="BH188">
        <v>6</v>
      </c>
      <c r="BI188" t="s">
        <v>344</v>
      </c>
      <c r="BJ188" t="s">
        <v>1221</v>
      </c>
      <c r="BK188" t="str">
        <f>"BRI BUILDING KOPA DI ORU ST. GARAPAN"</f>
        <v>BRI BUILDING KOPA DI ORU ST. GARAPAN</v>
      </c>
      <c r="BL188" t="str">
        <f>"SUITE 104"</f>
        <v>SUITE 104</v>
      </c>
      <c r="BM188" t="str">
        <f t="shared" si="123"/>
        <v>SAIPAN</v>
      </c>
      <c r="BO188" t="s">
        <v>83</v>
      </c>
      <c r="BP188" s="4" t="str">
        <f t="shared" si="119"/>
        <v>96950</v>
      </c>
      <c r="BQ188" t="s">
        <v>79</v>
      </c>
      <c r="BR188" t="str">
        <f>"49-9071.00"</f>
        <v>49-9071.00</v>
      </c>
      <c r="BS188" t="s">
        <v>146</v>
      </c>
      <c r="BT188" s="3">
        <v>9.19</v>
      </c>
      <c r="BU188" t="s">
        <v>80</v>
      </c>
      <c r="BV188" t="s">
        <v>90</v>
      </c>
      <c r="BW188" t="s">
        <v>92</v>
      </c>
      <c r="BZ188" s="1">
        <v>45107</v>
      </c>
    </row>
    <row r="189" spans="1:78" ht="15" customHeight="1" x14ac:dyDescent="0.25">
      <c r="A189" t="s">
        <v>1222</v>
      </c>
      <c r="B189" t="s">
        <v>94</v>
      </c>
      <c r="C189" s="1">
        <v>44859</v>
      </c>
      <c r="D189" s="1">
        <v>44900</v>
      </c>
      <c r="H189" t="s">
        <v>78</v>
      </c>
      <c r="I189" t="str">
        <f>"RAMOS"</f>
        <v>RAMOS</v>
      </c>
      <c r="J189" t="str">
        <f>"GIA"</f>
        <v>GIA</v>
      </c>
      <c r="K189" t="str">
        <f>"BLANCAFLOR"</f>
        <v>BLANCAFLOR</v>
      </c>
      <c r="L189" t="str">
        <f t="shared" si="124"/>
        <v>PRESIDENT</v>
      </c>
      <c r="M189" t="str">
        <f>"PO BOX 9663"</f>
        <v>PO BOX 9663</v>
      </c>
      <c r="N189" t="str">
        <f>""</f>
        <v/>
      </c>
      <c r="O189" t="str">
        <f>"TAMUNING"</f>
        <v>TAMUNING</v>
      </c>
      <c r="P189" t="str">
        <f>"GU"</f>
        <v>GU</v>
      </c>
      <c r="Q189" s="4" t="str">
        <f>"96931"</f>
        <v>96931</v>
      </c>
      <c r="R189" t="str">
        <f t="shared" si="90"/>
        <v>UNITED STATES OF AMERICA</v>
      </c>
      <c r="S189" t="str">
        <f t="shared" si="120"/>
        <v>N/A</v>
      </c>
      <c r="T189" s="5" t="str">
        <f>"16716498746"</f>
        <v>16716498746</v>
      </c>
      <c r="U189" t="str">
        <f>"203"</f>
        <v>203</v>
      </c>
      <c r="V189" s="5" t="str">
        <f>""</f>
        <v/>
      </c>
      <c r="W189" t="str">
        <f>"admin@hhcare.co"</f>
        <v>admin@hhcare.co</v>
      </c>
      <c r="X189" t="str">
        <f>"TRI ENTERPRISES, INC."</f>
        <v>TRI ENTERPRISES, INC.</v>
      </c>
      <c r="Y189" t="str">
        <f>"Marianas Visiting Nurses"</f>
        <v>Marianas Visiting Nurses</v>
      </c>
      <c r="Z189" t="str">
        <f>"BRI BUILDING KOPA DI ORU ST. GARAPAN"</f>
        <v>BRI BUILDING KOPA DI ORU ST. GARAPAN</v>
      </c>
      <c r="AA189" t="str">
        <f>"SUITE 104"</f>
        <v>SUITE 104</v>
      </c>
      <c r="AB189" t="str">
        <f t="shared" si="121"/>
        <v>SAIPAN</v>
      </c>
      <c r="AC189" t="str">
        <f t="shared" si="91"/>
        <v>MP</v>
      </c>
      <c r="AD189" t="str">
        <f t="shared" si="118"/>
        <v>96950</v>
      </c>
      <c r="AE189" t="str">
        <f t="shared" si="92"/>
        <v>UNITED STATES OF AMERICA</v>
      </c>
      <c r="AF189" t="str">
        <f t="shared" si="122"/>
        <v>N/A</v>
      </c>
      <c r="AG189" s="4" t="str">
        <f>"16703236877"</f>
        <v>16703236877</v>
      </c>
      <c r="AH189" t="str">
        <f>""</f>
        <v/>
      </c>
      <c r="AI189" t="str">
        <f>"62161"</f>
        <v>62161</v>
      </c>
      <c r="AJ189" t="s">
        <v>79</v>
      </c>
      <c r="AK189" t="s">
        <v>79</v>
      </c>
      <c r="AL189" t="s">
        <v>80</v>
      </c>
      <c r="AM189" t="s">
        <v>79</v>
      </c>
      <c r="AP189" t="str">
        <f>"CHILD, FAMILY, AND SCHOOL SOCIAL WORKERS"</f>
        <v>CHILD, FAMILY, AND SCHOOL SOCIAL WORKERS</v>
      </c>
      <c r="AQ189" t="str">
        <f>"21-1021.00"</f>
        <v>21-1021.00</v>
      </c>
      <c r="AR189" t="str">
        <f>"Child, Family, and School Social Workers"</f>
        <v>Child, Family, and School Social Workers</v>
      </c>
      <c r="AS189" t="str">
        <f>"CASE MANAGER"</f>
        <v>CASE MANAGER</v>
      </c>
      <c r="AT189" t="s">
        <v>79</v>
      </c>
      <c r="AU189" t="str">
        <f>""</f>
        <v/>
      </c>
      <c r="AV189" t="str">
        <f>""</f>
        <v/>
      </c>
      <c r="AW189" t="s">
        <v>82</v>
      </c>
      <c r="AX189" t="str">
        <f>"FROM OFFICE TO SOCIAL FUNCTIONS/CLIENTS."</f>
        <v>FROM OFFICE TO SOCIAL FUNCTIONS/CLIENTS.</v>
      </c>
      <c r="AY189" t="s">
        <v>124</v>
      </c>
      <c r="BA189" t="s">
        <v>1223</v>
      </c>
      <c r="BB189" t="s">
        <v>79</v>
      </c>
      <c r="BD189" t="s">
        <v>79</v>
      </c>
      <c r="BG189" t="s">
        <v>79</v>
      </c>
      <c r="BJ189" s="2" t="s">
        <v>1224</v>
      </c>
      <c r="BK189" t="str">
        <f>"BRI BUILDING KOPA DI ORU ST. GARAPAN"</f>
        <v>BRI BUILDING KOPA DI ORU ST. GARAPAN</v>
      </c>
      <c r="BL189" t="str">
        <f>"SUITE 104"</f>
        <v>SUITE 104</v>
      </c>
      <c r="BM189" t="str">
        <f t="shared" si="123"/>
        <v>SAIPAN</v>
      </c>
      <c r="BO189" t="s">
        <v>83</v>
      </c>
      <c r="BP189" s="4" t="str">
        <f t="shared" si="119"/>
        <v>96950</v>
      </c>
      <c r="BQ189" t="s">
        <v>79</v>
      </c>
      <c r="BR189" t="str">
        <f>"21-1021.00"</f>
        <v>21-1021.00</v>
      </c>
      <c r="BS189" t="s">
        <v>1225</v>
      </c>
      <c r="BT189" s="3">
        <v>13.42</v>
      </c>
      <c r="BU189" t="s">
        <v>80</v>
      </c>
      <c r="BV189" t="s">
        <v>90</v>
      </c>
      <c r="BW189" t="s">
        <v>92</v>
      </c>
      <c r="BY189" t="s">
        <v>1226</v>
      </c>
      <c r="BZ189" s="1">
        <v>45107</v>
      </c>
    </row>
    <row r="190" spans="1:78" ht="15" customHeight="1" x14ac:dyDescent="0.25">
      <c r="A190" t="s">
        <v>1227</v>
      </c>
      <c r="B190" t="s">
        <v>94</v>
      </c>
      <c r="C190" s="1">
        <v>44859</v>
      </c>
      <c r="D190" s="1">
        <v>44900</v>
      </c>
      <c r="H190" t="s">
        <v>78</v>
      </c>
      <c r="I190" t="str">
        <f>"RAMOS"</f>
        <v>RAMOS</v>
      </c>
      <c r="J190" t="str">
        <f>"GIA"</f>
        <v>GIA</v>
      </c>
      <c r="K190" t="str">
        <f>"BLANCAFLOR"</f>
        <v>BLANCAFLOR</v>
      </c>
      <c r="L190" t="str">
        <f t="shared" si="124"/>
        <v>PRESIDENT</v>
      </c>
      <c r="M190" t="str">
        <f>"PO BOX 9663"</f>
        <v>PO BOX 9663</v>
      </c>
      <c r="N190" t="str">
        <f>""</f>
        <v/>
      </c>
      <c r="O190" t="str">
        <f>"TAMUNING"</f>
        <v>TAMUNING</v>
      </c>
      <c r="P190" t="str">
        <f>"GU"</f>
        <v>GU</v>
      </c>
      <c r="Q190" s="4" t="str">
        <f>"96931"</f>
        <v>96931</v>
      </c>
      <c r="R190" t="str">
        <f t="shared" si="90"/>
        <v>UNITED STATES OF AMERICA</v>
      </c>
      <c r="S190" t="str">
        <f t="shared" si="120"/>
        <v>N/A</v>
      </c>
      <c r="T190" s="5" t="str">
        <f>"16716498746"</f>
        <v>16716498746</v>
      </c>
      <c r="U190" t="str">
        <f>"203"</f>
        <v>203</v>
      </c>
      <c r="V190" s="5" t="str">
        <f>""</f>
        <v/>
      </c>
      <c r="W190" t="str">
        <f>"admin@hhcare.co"</f>
        <v>admin@hhcare.co</v>
      </c>
      <c r="X190" t="str">
        <f>"TRI ENTERPRISES, INC."</f>
        <v>TRI ENTERPRISES, INC.</v>
      </c>
      <c r="Y190" t="str">
        <f>"Marianas Visiting Nurses"</f>
        <v>Marianas Visiting Nurses</v>
      </c>
      <c r="Z190" t="str">
        <f>"BRI BLDG. KOPA DI ORU ST. GARAPAN"</f>
        <v>BRI BLDG. KOPA DI ORU ST. GARAPAN</v>
      </c>
      <c r="AA190" t="str">
        <f>"SUITE 104 B"</f>
        <v>SUITE 104 B</v>
      </c>
      <c r="AB190" t="str">
        <f t="shared" si="121"/>
        <v>SAIPAN</v>
      </c>
      <c r="AC190" t="str">
        <f t="shared" si="91"/>
        <v>MP</v>
      </c>
      <c r="AD190" t="str">
        <f t="shared" si="118"/>
        <v>96950</v>
      </c>
      <c r="AE190" t="str">
        <f t="shared" si="92"/>
        <v>UNITED STATES OF AMERICA</v>
      </c>
      <c r="AF190" t="str">
        <f t="shared" si="122"/>
        <v>N/A</v>
      </c>
      <c r="AG190" s="4" t="str">
        <f>"16703236877"</f>
        <v>16703236877</v>
      </c>
      <c r="AH190" t="str">
        <f>""</f>
        <v/>
      </c>
      <c r="AI190" t="str">
        <f>"62161"</f>
        <v>62161</v>
      </c>
      <c r="AJ190" t="s">
        <v>79</v>
      </c>
      <c r="AK190" t="s">
        <v>79</v>
      </c>
      <c r="AL190" t="s">
        <v>80</v>
      </c>
      <c r="AM190" t="s">
        <v>79</v>
      </c>
      <c r="AP190" t="str">
        <f>"PERSONAL CARE SEVICES WORKER AND, ALL OTHERS"</f>
        <v>PERSONAL CARE SEVICES WORKER AND, ALL OTHERS</v>
      </c>
      <c r="AQ190" t="str">
        <f>"39-9099.00"</f>
        <v>39-9099.00</v>
      </c>
      <c r="AR190" t="str">
        <f>"Personal Care and Service Workers, All Other"</f>
        <v>Personal Care and Service Workers, All Other</v>
      </c>
      <c r="AS190" t="str">
        <f>"CLINICAL MANAGER"</f>
        <v>CLINICAL MANAGER</v>
      </c>
      <c r="AT190" t="s">
        <v>79</v>
      </c>
      <c r="AU190" t="str">
        <f>""</f>
        <v/>
      </c>
      <c r="AV190" t="str">
        <f>""</f>
        <v/>
      </c>
      <c r="AW190" t="s">
        <v>82</v>
      </c>
      <c r="AX190" t="str">
        <f>"FROM OFFICE TO PATIENT HOME"</f>
        <v>FROM OFFICE TO PATIENT HOME</v>
      </c>
      <c r="AY190" t="s">
        <v>81</v>
      </c>
      <c r="BA190" t="s">
        <v>80</v>
      </c>
      <c r="BB190" t="s">
        <v>79</v>
      </c>
      <c r="BD190" t="s">
        <v>79</v>
      </c>
      <c r="BG190" t="s">
        <v>82</v>
      </c>
      <c r="BH190">
        <v>12</v>
      </c>
      <c r="BI190" t="s">
        <v>1228</v>
      </c>
      <c r="BJ190" t="s">
        <v>1212</v>
      </c>
      <c r="BK190" t="str">
        <f>"BRI BLDG. KOPA DI ORU ST. GARAPAN"</f>
        <v>BRI BLDG. KOPA DI ORU ST. GARAPAN</v>
      </c>
      <c r="BL190" t="str">
        <f>"SUITE 104 B"</f>
        <v>SUITE 104 B</v>
      </c>
      <c r="BM190" t="str">
        <f t="shared" si="123"/>
        <v>SAIPAN</v>
      </c>
      <c r="BO190" t="s">
        <v>83</v>
      </c>
      <c r="BP190" s="4" t="str">
        <f t="shared" si="119"/>
        <v>96950</v>
      </c>
      <c r="BQ190" t="s">
        <v>79</v>
      </c>
      <c r="BR190" t="str">
        <f>"31-1122.00"</f>
        <v>31-1122.00</v>
      </c>
      <c r="BS190" t="s">
        <v>1213</v>
      </c>
      <c r="BT190" s="3">
        <v>12.96</v>
      </c>
      <c r="BU190" t="s">
        <v>80</v>
      </c>
      <c r="BV190" t="s">
        <v>90</v>
      </c>
      <c r="BW190" t="s">
        <v>92</v>
      </c>
      <c r="BY190" t="s">
        <v>1226</v>
      </c>
      <c r="BZ190" s="1">
        <v>45107</v>
      </c>
    </row>
    <row r="191" spans="1:78" ht="15" customHeight="1" x14ac:dyDescent="0.25">
      <c r="A191" t="s">
        <v>1229</v>
      </c>
      <c r="B191" t="s">
        <v>94</v>
      </c>
      <c r="C191" s="1">
        <v>44859</v>
      </c>
      <c r="D191" s="1">
        <v>44900</v>
      </c>
      <c r="H191" t="s">
        <v>78</v>
      </c>
      <c r="I191" t="str">
        <f>"DANCOE"</f>
        <v>DANCOE</v>
      </c>
      <c r="J191" t="str">
        <f>"SONYA"</f>
        <v>SONYA</v>
      </c>
      <c r="K191" t="str">
        <f>"PANGELINAN"</f>
        <v>PANGELINAN</v>
      </c>
      <c r="L191" t="str">
        <f t="shared" si="124"/>
        <v>PRESIDENT</v>
      </c>
      <c r="M191" t="str">
        <f>"P.O.BOX 503922"</f>
        <v>P.O.BOX 503922</v>
      </c>
      <c r="N191" t="str">
        <f>"GUALO RAI CENTER, MIDDLE ROAD"</f>
        <v>GUALO RAI CENTER, MIDDLE ROAD</v>
      </c>
      <c r="O191" t="str">
        <f>"SAIPAN"</f>
        <v>SAIPAN</v>
      </c>
      <c r="P191" t="str">
        <f>"MP"</f>
        <v>MP</v>
      </c>
      <c r="Q191" s="4" t="str">
        <f>"96950"</f>
        <v>96950</v>
      </c>
      <c r="R191" t="str">
        <f t="shared" si="90"/>
        <v>UNITED STATES OF AMERICA</v>
      </c>
      <c r="S191" t="str">
        <f>"NOTHERN MARIANA ISLANDS"</f>
        <v>NOTHERN MARIANA ISLANDS</v>
      </c>
      <c r="T191" s="5" t="str">
        <f>"16702337732"</f>
        <v>16702337732</v>
      </c>
      <c r="U191" t="str">
        <f>""</f>
        <v/>
      </c>
      <c r="V191" s="5" t="str">
        <f>""</f>
        <v/>
      </c>
      <c r="W191" t="str">
        <f>"spdancoe19@gmail.com"</f>
        <v>spdancoe19@gmail.com</v>
      </c>
      <c r="X191" t="str">
        <f>"SP DANCOE AND ASSOCIATES, LLC"</f>
        <v>SP DANCOE AND ASSOCIATES, LLC</v>
      </c>
      <c r="Y191" t="str">
        <f>""</f>
        <v/>
      </c>
      <c r="Z191" t="str">
        <f>"P.O. BOX 503922"</f>
        <v>P.O. BOX 503922</v>
      </c>
      <c r="AA191" t="str">
        <f>"GUALO RAI, MIDDLE ROAD"</f>
        <v>GUALO RAI, MIDDLE ROAD</v>
      </c>
      <c r="AB191" t="str">
        <f t="shared" si="121"/>
        <v>SAIPAN</v>
      </c>
      <c r="AC191" t="str">
        <f t="shared" si="91"/>
        <v>MP</v>
      </c>
      <c r="AD191" t="str">
        <f t="shared" si="118"/>
        <v>96950</v>
      </c>
      <c r="AE191" t="str">
        <f t="shared" si="92"/>
        <v>UNITED STATES OF AMERICA</v>
      </c>
      <c r="AF191" t="str">
        <f>"NORTHERN MARIANA ISLANDS"</f>
        <v>NORTHERN MARIANA ISLANDS</v>
      </c>
      <c r="AG191" s="4" t="str">
        <f>"16702337732"</f>
        <v>16702337732</v>
      </c>
      <c r="AH191" t="str">
        <f>""</f>
        <v/>
      </c>
      <c r="AI191" t="str">
        <f>"541330"</f>
        <v>541330</v>
      </c>
      <c r="AJ191" t="s">
        <v>79</v>
      </c>
      <c r="AK191" t="s">
        <v>79</v>
      </c>
      <c r="AL191" t="s">
        <v>80</v>
      </c>
      <c r="AM191" t="s">
        <v>79</v>
      </c>
      <c r="AP191" t="str">
        <f>"ARCHITECTURAL AND CIVIL DRAFTER"</f>
        <v>ARCHITECTURAL AND CIVIL DRAFTER</v>
      </c>
      <c r="AQ191" t="str">
        <f>"17-3011.00"</f>
        <v>17-3011.00</v>
      </c>
      <c r="AR191" t="str">
        <f>"Architectural and Civil Drafters"</f>
        <v>Architectural and Civil Drafters</v>
      </c>
      <c r="AS191" t="str">
        <f>"PRESIDENT"</f>
        <v>PRESIDENT</v>
      </c>
      <c r="AT191" t="s">
        <v>79</v>
      </c>
      <c r="AU191" t="str">
        <f>""</f>
        <v/>
      </c>
      <c r="AV191" t="str">
        <f>""</f>
        <v/>
      </c>
      <c r="AW191" t="s">
        <v>82</v>
      </c>
      <c r="AX191" s="2" t="s">
        <v>1230</v>
      </c>
      <c r="AY191" t="s">
        <v>95</v>
      </c>
      <c r="BA191" t="s">
        <v>1231</v>
      </c>
      <c r="BB191" t="s">
        <v>79</v>
      </c>
      <c r="BD191" t="s">
        <v>82</v>
      </c>
      <c r="BE191">
        <v>1</v>
      </c>
      <c r="BF191" t="s">
        <v>1232</v>
      </c>
      <c r="BG191" t="s">
        <v>82</v>
      </c>
      <c r="BH191">
        <v>6</v>
      </c>
      <c r="BI191" t="s">
        <v>1233</v>
      </c>
      <c r="BJ191" s="2" t="s">
        <v>1234</v>
      </c>
      <c r="BK191" t="str">
        <f>"SP DANCOE OFFICE"</f>
        <v>SP DANCOE OFFICE</v>
      </c>
      <c r="BL191" t="str">
        <f>"GUALO RAI, MIDDLE ROAD"</f>
        <v>GUALO RAI, MIDDLE ROAD</v>
      </c>
      <c r="BM191" t="str">
        <f t="shared" si="123"/>
        <v>SAIPAN</v>
      </c>
      <c r="BO191" t="s">
        <v>83</v>
      </c>
      <c r="BP191" s="4" t="str">
        <f t="shared" si="119"/>
        <v>96950</v>
      </c>
      <c r="BQ191" t="s">
        <v>79</v>
      </c>
      <c r="BR191" t="str">
        <f>"17-3011.00"</f>
        <v>17-3011.00</v>
      </c>
      <c r="BS191" t="s">
        <v>714</v>
      </c>
      <c r="BT191" s="3">
        <v>16.75</v>
      </c>
      <c r="BU191" t="s">
        <v>80</v>
      </c>
      <c r="BV191" t="s">
        <v>90</v>
      </c>
      <c r="BW191" t="s">
        <v>92</v>
      </c>
      <c r="BY191" t="s">
        <v>1226</v>
      </c>
      <c r="BZ191" s="1">
        <v>45107</v>
      </c>
    </row>
    <row r="192" spans="1:78" ht="15" customHeight="1" x14ac:dyDescent="0.25">
      <c r="A192" t="s">
        <v>1235</v>
      </c>
      <c r="B192" t="s">
        <v>94</v>
      </c>
      <c r="C192" s="1">
        <v>44859</v>
      </c>
      <c r="D192" s="1">
        <v>44900</v>
      </c>
      <c r="H192" t="s">
        <v>78</v>
      </c>
      <c r="I192" t="str">
        <f>"RAMOS"</f>
        <v>RAMOS</v>
      </c>
      <c r="J192" t="str">
        <f>"GIA"</f>
        <v>GIA</v>
      </c>
      <c r="K192" t="str">
        <f>"BLANCAFLOR"</f>
        <v>BLANCAFLOR</v>
      </c>
      <c r="L192" t="str">
        <f t="shared" si="124"/>
        <v>PRESIDENT</v>
      </c>
      <c r="M192" t="str">
        <f>"PO BOX 9663"</f>
        <v>PO BOX 9663</v>
      </c>
      <c r="N192" t="str">
        <f>""</f>
        <v/>
      </c>
      <c r="O192" t="str">
        <f>"TAMUNING"</f>
        <v>TAMUNING</v>
      </c>
      <c r="P192" t="str">
        <f>"GU"</f>
        <v>GU</v>
      </c>
      <c r="Q192" s="4" t="str">
        <f>"96931"</f>
        <v>96931</v>
      </c>
      <c r="R192" t="str">
        <f t="shared" si="90"/>
        <v>UNITED STATES OF AMERICA</v>
      </c>
      <c r="S192" t="str">
        <f>"N/A"</f>
        <v>N/A</v>
      </c>
      <c r="T192" s="5" t="str">
        <f>"16716498746"</f>
        <v>16716498746</v>
      </c>
      <c r="U192" t="str">
        <f>"203"</f>
        <v>203</v>
      </c>
      <c r="V192" s="5" t="str">
        <f>""</f>
        <v/>
      </c>
      <c r="W192" t="str">
        <f>"admin@hhcare.co"</f>
        <v>admin@hhcare.co</v>
      </c>
      <c r="X192" t="str">
        <f>"TENDER HOSPICE CARE, INC."</f>
        <v>TENDER HOSPICE CARE, INC.</v>
      </c>
      <c r="Y192" t="str">
        <f>"Tender Care"</f>
        <v>Tender Care</v>
      </c>
      <c r="Z192" t="str">
        <f>"BRI BLDG. KOPA DI ORU ST. GARAPAN"</f>
        <v>BRI BLDG. KOPA DI ORU ST. GARAPAN</v>
      </c>
      <c r="AA192" t="str">
        <f>"SUITE 104 B"</f>
        <v>SUITE 104 B</v>
      </c>
      <c r="AB192" t="str">
        <f t="shared" si="121"/>
        <v>SAIPAN</v>
      </c>
      <c r="AC192" t="str">
        <f t="shared" si="91"/>
        <v>MP</v>
      </c>
      <c r="AD192" t="str">
        <f t="shared" si="118"/>
        <v>96950</v>
      </c>
      <c r="AE192" t="str">
        <f t="shared" si="92"/>
        <v>UNITED STATES OF AMERICA</v>
      </c>
      <c r="AF192" t="str">
        <f>"N/A"</f>
        <v>N/A</v>
      </c>
      <c r="AG192" s="4" t="str">
        <f>"16703236877"</f>
        <v>16703236877</v>
      </c>
      <c r="AH192" t="str">
        <f>""</f>
        <v/>
      </c>
      <c r="AI192" t="str">
        <f>"62161"</f>
        <v>62161</v>
      </c>
      <c r="AJ192" t="s">
        <v>79</v>
      </c>
      <c r="AK192" t="s">
        <v>79</v>
      </c>
      <c r="AL192" t="s">
        <v>80</v>
      </c>
      <c r="AM192" t="s">
        <v>79</v>
      </c>
      <c r="AP192" t="str">
        <f>"PERSONALCARE SERVICES WORKER AND, ALL OTHERS"</f>
        <v>PERSONALCARE SERVICES WORKER AND, ALL OTHERS</v>
      </c>
      <c r="AQ192" t="str">
        <f>"39-9099.00"</f>
        <v>39-9099.00</v>
      </c>
      <c r="AR192" t="str">
        <f>"Personal Care and Service Workers, All Other"</f>
        <v>Personal Care and Service Workers, All Other</v>
      </c>
      <c r="AS192" t="str">
        <f>"CLINICAL MANAGER"</f>
        <v>CLINICAL MANAGER</v>
      </c>
      <c r="AT192" t="s">
        <v>79</v>
      </c>
      <c r="AU192" t="str">
        <f>""</f>
        <v/>
      </c>
      <c r="AV192" t="str">
        <f>""</f>
        <v/>
      </c>
      <c r="AW192" t="s">
        <v>82</v>
      </c>
      <c r="AX192" t="str">
        <f>"FROM OFFICE TO PATIENT HOME"</f>
        <v>FROM OFFICE TO PATIENT HOME</v>
      </c>
      <c r="AY192" t="s">
        <v>81</v>
      </c>
      <c r="BA192" t="s">
        <v>80</v>
      </c>
      <c r="BB192" t="s">
        <v>79</v>
      </c>
      <c r="BD192" t="s">
        <v>79</v>
      </c>
      <c r="BG192" t="s">
        <v>82</v>
      </c>
      <c r="BH192">
        <v>12</v>
      </c>
      <c r="BI192" t="s">
        <v>1228</v>
      </c>
      <c r="BJ192" t="s">
        <v>1212</v>
      </c>
      <c r="BK192" t="str">
        <f>"BRI BLDG. KOPA DI ORU ST. GARAPAN"</f>
        <v>BRI BLDG. KOPA DI ORU ST. GARAPAN</v>
      </c>
      <c r="BL192" t="str">
        <f>"SUITE 104 B"</f>
        <v>SUITE 104 B</v>
      </c>
      <c r="BM192" t="str">
        <f t="shared" si="123"/>
        <v>SAIPAN</v>
      </c>
      <c r="BO192" t="s">
        <v>83</v>
      </c>
      <c r="BP192" s="4" t="str">
        <f t="shared" si="119"/>
        <v>96950</v>
      </c>
      <c r="BQ192" t="s">
        <v>79</v>
      </c>
      <c r="BR192" t="str">
        <f>"31-1122.00"</f>
        <v>31-1122.00</v>
      </c>
      <c r="BS192" t="s">
        <v>1213</v>
      </c>
      <c r="BT192" s="3">
        <v>12.96</v>
      </c>
      <c r="BU192" t="s">
        <v>80</v>
      </c>
      <c r="BV192" t="s">
        <v>90</v>
      </c>
      <c r="BW192" t="s">
        <v>92</v>
      </c>
      <c r="BY192" s="2" t="s">
        <v>1236</v>
      </c>
      <c r="BZ192" s="1">
        <v>45107</v>
      </c>
    </row>
    <row r="193" spans="1:78" ht="15" customHeight="1" x14ac:dyDescent="0.25">
      <c r="A193" t="s">
        <v>1237</v>
      </c>
      <c r="B193" t="s">
        <v>94</v>
      </c>
      <c r="C193" s="1">
        <v>44859</v>
      </c>
      <c r="D193" s="1">
        <v>44900</v>
      </c>
      <c r="H193" t="s">
        <v>78</v>
      </c>
      <c r="I193" t="str">
        <f>"DANCOE"</f>
        <v>DANCOE</v>
      </c>
      <c r="J193" t="str">
        <f>"SONYA"</f>
        <v>SONYA</v>
      </c>
      <c r="K193" t="str">
        <f>"PANGELINAN"</f>
        <v>PANGELINAN</v>
      </c>
      <c r="L193" t="str">
        <f t="shared" si="124"/>
        <v>PRESIDENT</v>
      </c>
      <c r="M193" t="str">
        <f>"P.O. BOX 503922"</f>
        <v>P.O. BOX 503922</v>
      </c>
      <c r="N193" t="str">
        <f>"GUALO RAI, MIDDLE ROAD"</f>
        <v>GUALO RAI, MIDDLE ROAD</v>
      </c>
      <c r="O193" t="str">
        <f>"SAIPAN"</f>
        <v>SAIPAN</v>
      </c>
      <c r="P193" t="str">
        <f>"MP"</f>
        <v>MP</v>
      </c>
      <c r="Q193" s="4" t="str">
        <f>"96950"</f>
        <v>96950</v>
      </c>
      <c r="R193" t="str">
        <f t="shared" si="90"/>
        <v>UNITED STATES OF AMERICA</v>
      </c>
      <c r="S193" t="str">
        <f>"NORTHERN MARIANA ISLANDS"</f>
        <v>NORTHERN MARIANA ISLANDS</v>
      </c>
      <c r="T193" s="5" t="str">
        <f>"16702337732"</f>
        <v>16702337732</v>
      </c>
      <c r="U193" t="str">
        <f>""</f>
        <v/>
      </c>
      <c r="V193" s="5" t="str">
        <f>""</f>
        <v/>
      </c>
      <c r="W193" t="str">
        <f>"spdancoe19@gmail.com"</f>
        <v>spdancoe19@gmail.com</v>
      </c>
      <c r="X193" t="str">
        <f>"SP DANCOE AND ASSOCIATES, LLC"</f>
        <v>SP DANCOE AND ASSOCIATES, LLC</v>
      </c>
      <c r="Y193" t="str">
        <f>""</f>
        <v/>
      </c>
      <c r="Z193" t="str">
        <f>"P.O. BOX 503922"</f>
        <v>P.O. BOX 503922</v>
      </c>
      <c r="AA193" t="str">
        <f>"GUALO RAI, MIDDLE ROAD"</f>
        <v>GUALO RAI, MIDDLE ROAD</v>
      </c>
      <c r="AB193" t="str">
        <f t="shared" si="121"/>
        <v>SAIPAN</v>
      </c>
      <c r="AC193" t="str">
        <f t="shared" si="91"/>
        <v>MP</v>
      </c>
      <c r="AD193" t="str">
        <f t="shared" si="118"/>
        <v>96950</v>
      </c>
      <c r="AE193" t="str">
        <f t="shared" si="92"/>
        <v>UNITED STATES OF AMERICA</v>
      </c>
      <c r="AF193" t="str">
        <f>"NORTHERN MARIANA ISLANDS"</f>
        <v>NORTHERN MARIANA ISLANDS</v>
      </c>
      <c r="AG193" s="4" t="str">
        <f>"16702337732"</f>
        <v>16702337732</v>
      </c>
      <c r="AH193" t="str">
        <f>""</f>
        <v/>
      </c>
      <c r="AI193" t="str">
        <f>"541330"</f>
        <v>541330</v>
      </c>
      <c r="AJ193" t="s">
        <v>79</v>
      </c>
      <c r="AK193" t="s">
        <v>79</v>
      </c>
      <c r="AL193" t="s">
        <v>80</v>
      </c>
      <c r="AM193" t="s">
        <v>79</v>
      </c>
      <c r="AP193" t="str">
        <f>"SECRETARIES AND ADMINISTRATIVE ASSISTANT, Except Legal, Medi"</f>
        <v>SECRETARIES AND ADMINISTRATIVE ASSISTANT, Except Legal, Medi</v>
      </c>
      <c r="AQ193" t="str">
        <f>"43-6014.00"</f>
        <v>43-6014.00</v>
      </c>
      <c r="AR193" t="str">
        <f>"Secretaries and Administrative Assistants, Except Legal, Medical, and Executive"</f>
        <v>Secretaries and Administrative Assistants, Except Legal, Medical, and Executive</v>
      </c>
      <c r="AS193" t="str">
        <f>"PRESIDENT"</f>
        <v>PRESIDENT</v>
      </c>
      <c r="AT193" t="s">
        <v>79</v>
      </c>
      <c r="AU193" t="str">
        <f>""</f>
        <v/>
      </c>
      <c r="AV193" t="str">
        <f>""</f>
        <v/>
      </c>
      <c r="AW193" t="s">
        <v>79</v>
      </c>
      <c r="AX193" t="str">
        <f>""</f>
        <v/>
      </c>
      <c r="AY193" t="s">
        <v>95</v>
      </c>
      <c r="BA193" t="s">
        <v>1238</v>
      </c>
      <c r="BB193" t="s">
        <v>79</v>
      </c>
      <c r="BD193" t="s">
        <v>82</v>
      </c>
      <c r="BE193">
        <v>1</v>
      </c>
      <c r="BF193" t="s">
        <v>1239</v>
      </c>
      <c r="BG193" t="s">
        <v>82</v>
      </c>
      <c r="BH193">
        <v>3</v>
      </c>
      <c r="BI193" t="s">
        <v>1240</v>
      </c>
      <c r="BJ193" t="s">
        <v>1241</v>
      </c>
      <c r="BK193" t="str">
        <f>"SP DANCOE OFFICE"</f>
        <v>SP DANCOE OFFICE</v>
      </c>
      <c r="BL193" t="str">
        <f>"GUALO RAI, MIDDLE ROAD"</f>
        <v>GUALO RAI, MIDDLE ROAD</v>
      </c>
      <c r="BM193" t="str">
        <f t="shared" si="123"/>
        <v>SAIPAN</v>
      </c>
      <c r="BO193" t="s">
        <v>83</v>
      </c>
      <c r="BP193" s="4" t="str">
        <f t="shared" si="119"/>
        <v>96950</v>
      </c>
      <c r="BQ193" t="s">
        <v>79</v>
      </c>
      <c r="BR193" t="str">
        <f>"43-6014.00"</f>
        <v>43-6014.00</v>
      </c>
      <c r="BS193" t="s">
        <v>1242</v>
      </c>
      <c r="BT193" s="3">
        <v>12.9</v>
      </c>
      <c r="BU193" t="s">
        <v>80</v>
      </c>
      <c r="BV193" t="s">
        <v>90</v>
      </c>
      <c r="BW193" t="s">
        <v>92</v>
      </c>
      <c r="BY193" t="s">
        <v>1226</v>
      </c>
      <c r="BZ193" s="1">
        <v>45107</v>
      </c>
    </row>
    <row r="194" spans="1:78" ht="15" customHeight="1" x14ac:dyDescent="0.25">
      <c r="A194" t="s">
        <v>1243</v>
      </c>
      <c r="B194" t="s">
        <v>94</v>
      </c>
      <c r="C194" s="1">
        <v>44859</v>
      </c>
      <c r="D194" s="1">
        <v>44900</v>
      </c>
      <c r="H194" t="s">
        <v>78</v>
      </c>
      <c r="I194" t="str">
        <f t="shared" ref="I194:I202" si="125">"RAMOS"</f>
        <v>RAMOS</v>
      </c>
      <c r="J194" t="str">
        <f t="shared" ref="J194:J202" si="126">"GIA"</f>
        <v>GIA</v>
      </c>
      <c r="K194" t="str">
        <f t="shared" ref="K194:K202" si="127">"BLANCAFLOR"</f>
        <v>BLANCAFLOR</v>
      </c>
      <c r="L194" t="str">
        <f t="shared" si="124"/>
        <v>PRESIDENT</v>
      </c>
      <c r="M194" t="str">
        <f t="shared" ref="M194:M202" si="128">"PO BOX 9663"</f>
        <v>PO BOX 9663</v>
      </c>
      <c r="N194" t="str">
        <f>""</f>
        <v/>
      </c>
      <c r="O194" t="str">
        <f t="shared" ref="O194:O202" si="129">"TAMUNING"</f>
        <v>TAMUNING</v>
      </c>
      <c r="P194" t="str">
        <f t="shared" ref="P194:P202" si="130">"GU"</f>
        <v>GU</v>
      </c>
      <c r="Q194" s="4" t="str">
        <f t="shared" ref="Q194:Q202" si="131">"96931"</f>
        <v>96931</v>
      </c>
      <c r="R194" t="str">
        <f t="shared" ref="R194:R257" si="132">"UNITED STATES OF AMERICA"</f>
        <v>UNITED STATES OF AMERICA</v>
      </c>
      <c r="S194" t="str">
        <f t="shared" ref="S194:S202" si="133">"N/A"</f>
        <v>N/A</v>
      </c>
      <c r="T194" s="5" t="str">
        <f t="shared" ref="T194:T202" si="134">"16716498746"</f>
        <v>16716498746</v>
      </c>
      <c r="U194" t="str">
        <f t="shared" ref="U194:U202" si="135">"203"</f>
        <v>203</v>
      </c>
      <c r="V194" s="5" t="str">
        <f>""</f>
        <v/>
      </c>
      <c r="W194" t="str">
        <f t="shared" ref="W194:W202" si="136">"admin@hhcare.co"</f>
        <v>admin@hhcare.co</v>
      </c>
      <c r="X194" t="str">
        <f t="shared" ref="X194:X201" si="137">"TENDER HOSPICE CARE, INC."</f>
        <v>TENDER HOSPICE CARE, INC.</v>
      </c>
      <c r="Y194" t="str">
        <f t="shared" ref="Y194:Y201" si="138">"Tender Care"</f>
        <v>Tender Care</v>
      </c>
      <c r="Z194" t="str">
        <f t="shared" ref="Z194:Z201" si="139">"BRI BLDG. KOPA DI ORU ST. GARAPAN"</f>
        <v>BRI BLDG. KOPA DI ORU ST. GARAPAN</v>
      </c>
      <c r="AA194" t="str">
        <f t="shared" ref="AA194:AA201" si="140">"SUITE 104 B"</f>
        <v>SUITE 104 B</v>
      </c>
      <c r="AB194" t="str">
        <f t="shared" si="121"/>
        <v>SAIPAN</v>
      </c>
      <c r="AC194" t="str">
        <f t="shared" ref="AC194:AC257" si="141">"MP"</f>
        <v>MP</v>
      </c>
      <c r="AD194" t="str">
        <f t="shared" si="118"/>
        <v>96950</v>
      </c>
      <c r="AE194" t="str">
        <f t="shared" ref="AE194:AE257" si="142">"UNITED STATES OF AMERICA"</f>
        <v>UNITED STATES OF AMERICA</v>
      </c>
      <c r="AF194" t="str">
        <f t="shared" ref="AF194:AF202" si="143">"N/A"</f>
        <v>N/A</v>
      </c>
      <c r="AG194" s="4" t="str">
        <f t="shared" ref="AG194:AG202" si="144">"16703236877"</f>
        <v>16703236877</v>
      </c>
      <c r="AH194" t="str">
        <f>""</f>
        <v/>
      </c>
      <c r="AI194" t="str">
        <f>"6216"</f>
        <v>6216</v>
      </c>
      <c r="AJ194" t="s">
        <v>79</v>
      </c>
      <c r="AK194" t="s">
        <v>79</v>
      </c>
      <c r="AL194" t="s">
        <v>80</v>
      </c>
      <c r="AM194" t="s">
        <v>79</v>
      </c>
      <c r="AP194" t="str">
        <f>"LICENSED PRACTICAL AND LICENSED VOCATIONAL NURSES"</f>
        <v>LICENSED PRACTICAL AND LICENSED VOCATIONAL NURSES</v>
      </c>
      <c r="AQ194" t="str">
        <f>"29-2061.00"</f>
        <v>29-2061.00</v>
      </c>
      <c r="AR194" t="str">
        <f>"Licensed Practical and Licensed Vocational Nurses"</f>
        <v>Licensed Practical and Licensed Vocational Nurses</v>
      </c>
      <c r="AS194" t="str">
        <f>"CLINICAL MANAGER"</f>
        <v>CLINICAL MANAGER</v>
      </c>
      <c r="AT194" t="s">
        <v>79</v>
      </c>
      <c r="AU194" t="str">
        <f>""</f>
        <v/>
      </c>
      <c r="AV194" t="str">
        <f>""</f>
        <v/>
      </c>
      <c r="AW194" t="s">
        <v>82</v>
      </c>
      <c r="AX194" t="str">
        <f>"FROM OFFICE TO PATIENT HOME"</f>
        <v>FROM OFFICE TO PATIENT HOME</v>
      </c>
      <c r="AY194" t="s">
        <v>124</v>
      </c>
      <c r="BA194" t="s">
        <v>1093</v>
      </c>
      <c r="BB194" t="s">
        <v>79</v>
      </c>
      <c r="BD194" t="s">
        <v>79</v>
      </c>
      <c r="BG194" t="s">
        <v>79</v>
      </c>
      <c r="BJ194" s="2" t="s">
        <v>1244</v>
      </c>
      <c r="BK194" t="str">
        <f t="shared" ref="BK194:BK201" si="145">"BRI BLDG. KOPA DI ORU ST. GARAPAN"</f>
        <v>BRI BLDG. KOPA DI ORU ST. GARAPAN</v>
      </c>
      <c r="BL194" t="str">
        <f t="shared" ref="BL194:BL201" si="146">"SUITE 104 B"</f>
        <v>SUITE 104 B</v>
      </c>
      <c r="BM194" t="str">
        <f t="shared" si="123"/>
        <v>SAIPAN</v>
      </c>
      <c r="BO194" t="s">
        <v>83</v>
      </c>
      <c r="BP194" s="4" t="str">
        <f t="shared" si="119"/>
        <v>96950</v>
      </c>
      <c r="BQ194" t="s">
        <v>79</v>
      </c>
      <c r="BR194" t="str">
        <f>"29-2061.00"</f>
        <v>29-2061.00</v>
      </c>
      <c r="BS194" t="s">
        <v>128</v>
      </c>
      <c r="BT194" s="3">
        <v>15.18</v>
      </c>
      <c r="BU194" t="s">
        <v>80</v>
      </c>
      <c r="BV194" t="s">
        <v>90</v>
      </c>
      <c r="BW194" t="s">
        <v>92</v>
      </c>
      <c r="BY194" t="s">
        <v>1226</v>
      </c>
      <c r="BZ194" s="1">
        <v>45107</v>
      </c>
    </row>
    <row r="195" spans="1:78" ht="15" customHeight="1" x14ac:dyDescent="0.25">
      <c r="A195" t="s">
        <v>1245</v>
      </c>
      <c r="B195" t="s">
        <v>94</v>
      </c>
      <c r="C195" s="1">
        <v>44859</v>
      </c>
      <c r="D195" s="1">
        <v>44900</v>
      </c>
      <c r="H195" t="s">
        <v>78</v>
      </c>
      <c r="I195" t="str">
        <f t="shared" si="125"/>
        <v>RAMOS</v>
      </c>
      <c r="J195" t="str">
        <f t="shared" si="126"/>
        <v>GIA</v>
      </c>
      <c r="K195" t="str">
        <f t="shared" si="127"/>
        <v>BLANCAFLOR</v>
      </c>
      <c r="L195" t="str">
        <f t="shared" si="124"/>
        <v>PRESIDENT</v>
      </c>
      <c r="M195" t="str">
        <f t="shared" si="128"/>
        <v>PO BOX 9663</v>
      </c>
      <c r="N195" t="str">
        <f>""</f>
        <v/>
      </c>
      <c r="O195" t="str">
        <f t="shared" si="129"/>
        <v>TAMUNING</v>
      </c>
      <c r="P195" t="str">
        <f t="shared" si="130"/>
        <v>GU</v>
      </c>
      <c r="Q195" s="4" t="str">
        <f t="shared" si="131"/>
        <v>96931</v>
      </c>
      <c r="R195" t="str">
        <f t="shared" si="132"/>
        <v>UNITED STATES OF AMERICA</v>
      </c>
      <c r="S195" t="str">
        <f t="shared" si="133"/>
        <v>N/A</v>
      </c>
      <c r="T195" s="5" t="str">
        <f t="shared" si="134"/>
        <v>16716498746</v>
      </c>
      <c r="U195" t="str">
        <f t="shared" si="135"/>
        <v>203</v>
      </c>
      <c r="V195" s="5" t="str">
        <f>""</f>
        <v/>
      </c>
      <c r="W195" t="str">
        <f t="shared" si="136"/>
        <v>admin@hhcare.co</v>
      </c>
      <c r="X195" t="str">
        <f t="shared" si="137"/>
        <v>TENDER HOSPICE CARE, INC.</v>
      </c>
      <c r="Y195" t="str">
        <f t="shared" si="138"/>
        <v>Tender Care</v>
      </c>
      <c r="Z195" t="str">
        <f t="shared" si="139"/>
        <v>BRI BLDG. KOPA DI ORU ST. GARAPAN</v>
      </c>
      <c r="AA195" t="str">
        <f t="shared" si="140"/>
        <v>SUITE 104 B</v>
      </c>
      <c r="AB195" t="str">
        <f t="shared" si="121"/>
        <v>SAIPAN</v>
      </c>
      <c r="AC195" t="str">
        <f t="shared" si="141"/>
        <v>MP</v>
      </c>
      <c r="AD195" t="str">
        <f t="shared" si="118"/>
        <v>96950</v>
      </c>
      <c r="AE195" t="str">
        <f t="shared" si="142"/>
        <v>UNITED STATES OF AMERICA</v>
      </c>
      <c r="AF195" t="str">
        <f t="shared" si="143"/>
        <v>N/A</v>
      </c>
      <c r="AG195" s="4" t="str">
        <f t="shared" si="144"/>
        <v>16703236877</v>
      </c>
      <c r="AH195" t="str">
        <f>""</f>
        <v/>
      </c>
      <c r="AI195" t="str">
        <f>"6216"</f>
        <v>6216</v>
      </c>
      <c r="AJ195" t="s">
        <v>79</v>
      </c>
      <c r="AK195" t="s">
        <v>79</v>
      </c>
      <c r="AL195" t="s">
        <v>80</v>
      </c>
      <c r="AM195" t="s">
        <v>79</v>
      </c>
      <c r="AP195" t="str">
        <f>"PHYSICAL THERAPIST ASSISTANT"</f>
        <v>PHYSICAL THERAPIST ASSISTANT</v>
      </c>
      <c r="AQ195" t="str">
        <f>"31-2021.00"</f>
        <v>31-2021.00</v>
      </c>
      <c r="AR195" t="str">
        <f>"Physical Therapist Assistants"</f>
        <v>Physical Therapist Assistants</v>
      </c>
      <c r="AS195" t="str">
        <f>"CLINICAL MANAGER"</f>
        <v>CLINICAL MANAGER</v>
      </c>
      <c r="AT195" t="s">
        <v>79</v>
      </c>
      <c r="AU195" t="str">
        <f>""</f>
        <v/>
      </c>
      <c r="AV195" t="str">
        <f>""</f>
        <v/>
      </c>
      <c r="AW195" t="s">
        <v>82</v>
      </c>
      <c r="AX195" t="str">
        <f>"FROM OFFICE TO PATIENT HOME"</f>
        <v>FROM OFFICE TO PATIENT HOME</v>
      </c>
      <c r="AY195" t="s">
        <v>124</v>
      </c>
      <c r="BA195" t="s">
        <v>433</v>
      </c>
      <c r="BB195" t="s">
        <v>79</v>
      </c>
      <c r="BD195" t="s">
        <v>79</v>
      </c>
      <c r="BG195" t="s">
        <v>79</v>
      </c>
      <c r="BJ195" t="s">
        <v>434</v>
      </c>
      <c r="BK195" t="str">
        <f t="shared" si="145"/>
        <v>BRI BLDG. KOPA DI ORU ST. GARAPAN</v>
      </c>
      <c r="BL195" t="str">
        <f t="shared" si="146"/>
        <v>SUITE 104 B</v>
      </c>
      <c r="BM195" t="str">
        <f t="shared" si="123"/>
        <v>SAIPAN</v>
      </c>
      <c r="BO195" t="s">
        <v>83</v>
      </c>
      <c r="BP195" s="4" t="str">
        <f t="shared" si="119"/>
        <v>96950</v>
      </c>
      <c r="BQ195" t="s">
        <v>79</v>
      </c>
      <c r="BR195" t="str">
        <f>"31-2021.00"</f>
        <v>31-2021.00</v>
      </c>
      <c r="BS195" t="s">
        <v>435</v>
      </c>
      <c r="BT195" s="3">
        <v>19.86</v>
      </c>
      <c r="BU195" t="s">
        <v>80</v>
      </c>
      <c r="BV195" t="s">
        <v>90</v>
      </c>
      <c r="BW195" t="s">
        <v>265</v>
      </c>
      <c r="BY195" t="s">
        <v>1226</v>
      </c>
      <c r="BZ195" s="1">
        <v>45107</v>
      </c>
    </row>
    <row r="196" spans="1:78" ht="15" customHeight="1" x14ac:dyDescent="0.25">
      <c r="A196" t="s">
        <v>1246</v>
      </c>
      <c r="B196" t="s">
        <v>94</v>
      </c>
      <c r="C196" s="1">
        <v>44859</v>
      </c>
      <c r="D196" s="1">
        <v>44900</v>
      </c>
      <c r="H196" t="s">
        <v>78</v>
      </c>
      <c r="I196" t="str">
        <f t="shared" si="125"/>
        <v>RAMOS</v>
      </c>
      <c r="J196" t="str">
        <f t="shared" si="126"/>
        <v>GIA</v>
      </c>
      <c r="K196" t="str">
        <f t="shared" si="127"/>
        <v>BLANCAFLOR</v>
      </c>
      <c r="L196" t="str">
        <f t="shared" si="124"/>
        <v>PRESIDENT</v>
      </c>
      <c r="M196" t="str">
        <f t="shared" si="128"/>
        <v>PO BOX 9663</v>
      </c>
      <c r="N196" t="str">
        <f>""</f>
        <v/>
      </c>
      <c r="O196" t="str">
        <f t="shared" si="129"/>
        <v>TAMUNING</v>
      </c>
      <c r="P196" t="str">
        <f t="shared" si="130"/>
        <v>GU</v>
      </c>
      <c r="Q196" s="4" t="str">
        <f t="shared" si="131"/>
        <v>96931</v>
      </c>
      <c r="R196" t="str">
        <f t="shared" si="132"/>
        <v>UNITED STATES OF AMERICA</v>
      </c>
      <c r="S196" t="str">
        <f t="shared" si="133"/>
        <v>N/A</v>
      </c>
      <c r="T196" s="5" t="str">
        <f t="shared" si="134"/>
        <v>16716498746</v>
      </c>
      <c r="U196" t="str">
        <f t="shared" si="135"/>
        <v>203</v>
      </c>
      <c r="V196" s="5" t="str">
        <f>""</f>
        <v/>
      </c>
      <c r="W196" t="str">
        <f t="shared" si="136"/>
        <v>admin@hhcare.co</v>
      </c>
      <c r="X196" t="str">
        <f t="shared" si="137"/>
        <v>TENDER HOSPICE CARE, INC.</v>
      </c>
      <c r="Y196" t="str">
        <f t="shared" si="138"/>
        <v>Tender Care</v>
      </c>
      <c r="Z196" t="str">
        <f t="shared" si="139"/>
        <v>BRI BLDG. KOPA DI ORU ST. GARAPAN</v>
      </c>
      <c r="AA196" t="str">
        <f t="shared" si="140"/>
        <v>SUITE 104 B</v>
      </c>
      <c r="AB196" t="str">
        <f t="shared" si="121"/>
        <v>SAIPAN</v>
      </c>
      <c r="AC196" t="str">
        <f t="shared" si="141"/>
        <v>MP</v>
      </c>
      <c r="AD196" t="str">
        <f t="shared" si="118"/>
        <v>96950</v>
      </c>
      <c r="AE196" t="str">
        <f t="shared" si="142"/>
        <v>UNITED STATES OF AMERICA</v>
      </c>
      <c r="AF196" t="str">
        <f t="shared" si="143"/>
        <v>N/A</v>
      </c>
      <c r="AG196" s="4" t="str">
        <f t="shared" si="144"/>
        <v>16703236877</v>
      </c>
      <c r="AH196" t="str">
        <f>""</f>
        <v/>
      </c>
      <c r="AI196" t="str">
        <f>"62161"</f>
        <v>62161</v>
      </c>
      <c r="AJ196" t="s">
        <v>79</v>
      </c>
      <c r="AK196" t="s">
        <v>79</v>
      </c>
      <c r="AL196" t="s">
        <v>80</v>
      </c>
      <c r="AM196" t="s">
        <v>79</v>
      </c>
      <c r="AP196" t="str">
        <f>"REGISTERED NURSE"</f>
        <v>REGISTERED NURSE</v>
      </c>
      <c r="AQ196" t="str">
        <f>"29-1141.00"</f>
        <v>29-1141.00</v>
      </c>
      <c r="AR196" t="str">
        <f>"Registered Nurses"</f>
        <v>Registered Nurses</v>
      </c>
      <c r="AS196" t="str">
        <f>"CLINICAL SUPERVISOR"</f>
        <v>CLINICAL SUPERVISOR</v>
      </c>
      <c r="AT196" t="s">
        <v>79</v>
      </c>
      <c r="AU196" t="str">
        <f>""</f>
        <v/>
      </c>
      <c r="AV196" t="str">
        <f>""</f>
        <v/>
      </c>
      <c r="AW196" t="s">
        <v>82</v>
      </c>
      <c r="AX196" t="str">
        <f>"FROM OFFICE TO PATIENT HOME"</f>
        <v>FROM OFFICE TO PATIENT HOME</v>
      </c>
      <c r="AY196" t="s">
        <v>124</v>
      </c>
      <c r="BA196" t="s">
        <v>1093</v>
      </c>
      <c r="BB196" t="s">
        <v>79</v>
      </c>
      <c r="BD196" t="s">
        <v>79</v>
      </c>
      <c r="BG196" t="s">
        <v>79</v>
      </c>
      <c r="BJ196" s="2" t="s">
        <v>1094</v>
      </c>
      <c r="BK196" t="str">
        <f t="shared" si="145"/>
        <v>BRI BLDG. KOPA DI ORU ST. GARAPAN</v>
      </c>
      <c r="BL196" t="str">
        <f t="shared" si="146"/>
        <v>SUITE 104 B</v>
      </c>
      <c r="BM196" t="str">
        <f t="shared" si="123"/>
        <v>SAIPAN</v>
      </c>
      <c r="BO196" t="s">
        <v>83</v>
      </c>
      <c r="BP196" s="4" t="str">
        <f t="shared" si="119"/>
        <v>96950</v>
      </c>
      <c r="BQ196" t="s">
        <v>79</v>
      </c>
      <c r="BR196" t="str">
        <f>"29-1141.00"</f>
        <v>29-1141.00</v>
      </c>
      <c r="BS196" t="s">
        <v>1095</v>
      </c>
      <c r="BT196" s="3">
        <v>22.22</v>
      </c>
      <c r="BU196" t="s">
        <v>80</v>
      </c>
      <c r="BV196" t="s">
        <v>90</v>
      </c>
      <c r="BW196" t="s">
        <v>92</v>
      </c>
      <c r="BY196" t="s">
        <v>1226</v>
      </c>
      <c r="BZ196" s="1">
        <v>45107</v>
      </c>
    </row>
    <row r="197" spans="1:78" ht="15" customHeight="1" x14ac:dyDescent="0.25">
      <c r="A197" t="s">
        <v>1247</v>
      </c>
      <c r="B197" t="s">
        <v>94</v>
      </c>
      <c r="C197" s="1">
        <v>44859</v>
      </c>
      <c r="D197" s="1">
        <v>44900</v>
      </c>
      <c r="H197" t="s">
        <v>78</v>
      </c>
      <c r="I197" t="str">
        <f t="shared" si="125"/>
        <v>RAMOS</v>
      </c>
      <c r="J197" t="str">
        <f t="shared" si="126"/>
        <v>GIA</v>
      </c>
      <c r="K197" t="str">
        <f t="shared" si="127"/>
        <v>BLANCAFLOR</v>
      </c>
      <c r="L197" t="str">
        <f t="shared" si="124"/>
        <v>PRESIDENT</v>
      </c>
      <c r="M197" t="str">
        <f t="shared" si="128"/>
        <v>PO BOX 9663</v>
      </c>
      <c r="N197" t="str">
        <f>""</f>
        <v/>
      </c>
      <c r="O197" t="str">
        <f t="shared" si="129"/>
        <v>TAMUNING</v>
      </c>
      <c r="P197" t="str">
        <f t="shared" si="130"/>
        <v>GU</v>
      </c>
      <c r="Q197" s="4" t="str">
        <f t="shared" si="131"/>
        <v>96931</v>
      </c>
      <c r="R197" t="str">
        <f t="shared" si="132"/>
        <v>UNITED STATES OF AMERICA</v>
      </c>
      <c r="S197" t="str">
        <f t="shared" si="133"/>
        <v>N/A</v>
      </c>
      <c r="T197" s="5" t="str">
        <f t="shared" si="134"/>
        <v>16716498746</v>
      </c>
      <c r="U197" t="str">
        <f t="shared" si="135"/>
        <v>203</v>
      </c>
      <c r="V197" s="5" t="str">
        <f>""</f>
        <v/>
      </c>
      <c r="W197" t="str">
        <f t="shared" si="136"/>
        <v>admin@hhcare.co</v>
      </c>
      <c r="X197" t="str">
        <f t="shared" si="137"/>
        <v>TENDER HOSPICE CARE, INC.</v>
      </c>
      <c r="Y197" t="str">
        <f t="shared" si="138"/>
        <v>Tender Care</v>
      </c>
      <c r="Z197" t="str">
        <f t="shared" si="139"/>
        <v>BRI BLDG. KOPA DI ORU ST. GARAPAN</v>
      </c>
      <c r="AA197" t="str">
        <f t="shared" si="140"/>
        <v>SUITE 104 B</v>
      </c>
      <c r="AB197" t="str">
        <f t="shared" si="121"/>
        <v>SAIPAN</v>
      </c>
      <c r="AC197" t="str">
        <f t="shared" si="141"/>
        <v>MP</v>
      </c>
      <c r="AD197" t="str">
        <f t="shared" si="118"/>
        <v>96950</v>
      </c>
      <c r="AE197" t="str">
        <f t="shared" si="142"/>
        <v>UNITED STATES OF AMERICA</v>
      </c>
      <c r="AF197" t="str">
        <f t="shared" si="143"/>
        <v>N/A</v>
      </c>
      <c r="AG197" s="4" t="str">
        <f t="shared" si="144"/>
        <v>16703236877</v>
      </c>
      <c r="AH197" t="str">
        <f>""</f>
        <v/>
      </c>
      <c r="AI197" t="str">
        <f>"62161"</f>
        <v>62161</v>
      </c>
      <c r="AJ197" t="s">
        <v>79</v>
      </c>
      <c r="AK197" t="s">
        <v>79</v>
      </c>
      <c r="AL197" t="s">
        <v>80</v>
      </c>
      <c r="AM197" t="s">
        <v>79</v>
      </c>
      <c r="AP197" t="str">
        <f>"BOOKKEEPING, ACCOUNTING, AND AUDITING CLERKS"</f>
        <v>BOOKKEEPING, ACCOUNTING, AND AUDITING CLERKS</v>
      </c>
      <c r="AQ197" t="str">
        <f>"43-3031.00"</f>
        <v>43-3031.00</v>
      </c>
      <c r="AR197" t="str">
        <f>"Bookkeeping, Accounting, and Auditing Clerks"</f>
        <v>Bookkeeping, Accounting, and Auditing Clerks</v>
      </c>
      <c r="AS197" t="str">
        <f>"ACCOUNTANT"</f>
        <v>ACCOUNTANT</v>
      </c>
      <c r="AT197" t="s">
        <v>79</v>
      </c>
      <c r="AU197" t="str">
        <f>""</f>
        <v/>
      </c>
      <c r="AV197" t="str">
        <f>""</f>
        <v/>
      </c>
      <c r="AW197" t="s">
        <v>79</v>
      </c>
      <c r="AX197" t="str">
        <f>""</f>
        <v/>
      </c>
      <c r="AY197" t="s">
        <v>81</v>
      </c>
      <c r="BA197" t="s">
        <v>1248</v>
      </c>
      <c r="BB197" t="s">
        <v>79</v>
      </c>
      <c r="BD197" t="s">
        <v>79</v>
      </c>
      <c r="BG197" t="s">
        <v>82</v>
      </c>
      <c r="BH197">
        <v>12</v>
      </c>
      <c r="BI197" t="s">
        <v>1217</v>
      </c>
      <c r="BJ197" t="s">
        <v>1249</v>
      </c>
      <c r="BK197" t="str">
        <f t="shared" si="145"/>
        <v>BRI BLDG. KOPA DI ORU ST. GARAPAN</v>
      </c>
      <c r="BL197" t="str">
        <f t="shared" si="146"/>
        <v>SUITE 104 B</v>
      </c>
      <c r="BM197" t="str">
        <f t="shared" si="123"/>
        <v>SAIPAN</v>
      </c>
      <c r="BO197" t="s">
        <v>83</v>
      </c>
      <c r="BP197" s="4" t="str">
        <f t="shared" si="119"/>
        <v>96950</v>
      </c>
      <c r="BQ197" t="s">
        <v>79</v>
      </c>
      <c r="BR197" t="str">
        <f>"43-3031.00"</f>
        <v>43-3031.00</v>
      </c>
      <c r="BS197" t="s">
        <v>142</v>
      </c>
      <c r="BT197" s="3">
        <v>11.21</v>
      </c>
      <c r="BU197" t="s">
        <v>80</v>
      </c>
      <c r="BV197" t="s">
        <v>90</v>
      </c>
      <c r="BW197" t="s">
        <v>92</v>
      </c>
      <c r="BZ197" s="1">
        <v>45107</v>
      </c>
    </row>
    <row r="198" spans="1:78" ht="15" customHeight="1" x14ac:dyDescent="0.25">
      <c r="A198" t="s">
        <v>1250</v>
      </c>
      <c r="B198" t="s">
        <v>94</v>
      </c>
      <c r="C198" s="1">
        <v>44859</v>
      </c>
      <c r="D198" s="1">
        <v>44900</v>
      </c>
      <c r="H198" t="s">
        <v>78</v>
      </c>
      <c r="I198" t="str">
        <f t="shared" si="125"/>
        <v>RAMOS</v>
      </c>
      <c r="J198" t="str">
        <f t="shared" si="126"/>
        <v>GIA</v>
      </c>
      <c r="K198" t="str">
        <f t="shared" si="127"/>
        <v>BLANCAFLOR</v>
      </c>
      <c r="L198" t="str">
        <f t="shared" si="124"/>
        <v>PRESIDENT</v>
      </c>
      <c r="M198" t="str">
        <f t="shared" si="128"/>
        <v>PO BOX 9663</v>
      </c>
      <c r="N198" t="str">
        <f>""</f>
        <v/>
      </c>
      <c r="O198" t="str">
        <f t="shared" si="129"/>
        <v>TAMUNING</v>
      </c>
      <c r="P198" t="str">
        <f t="shared" si="130"/>
        <v>GU</v>
      </c>
      <c r="Q198" s="4" t="str">
        <f t="shared" si="131"/>
        <v>96931</v>
      </c>
      <c r="R198" t="str">
        <f t="shared" si="132"/>
        <v>UNITED STATES OF AMERICA</v>
      </c>
      <c r="S198" t="str">
        <f t="shared" si="133"/>
        <v>N/A</v>
      </c>
      <c r="T198" s="5" t="str">
        <f t="shared" si="134"/>
        <v>16716498746</v>
      </c>
      <c r="U198" t="str">
        <f t="shared" si="135"/>
        <v>203</v>
      </c>
      <c r="V198" s="5" t="str">
        <f>""</f>
        <v/>
      </c>
      <c r="W198" t="str">
        <f t="shared" si="136"/>
        <v>admin@hhcare.co</v>
      </c>
      <c r="X198" t="str">
        <f t="shared" si="137"/>
        <v>TENDER HOSPICE CARE, INC.</v>
      </c>
      <c r="Y198" t="str">
        <f t="shared" si="138"/>
        <v>Tender Care</v>
      </c>
      <c r="Z198" t="str">
        <f t="shared" si="139"/>
        <v>BRI BLDG. KOPA DI ORU ST. GARAPAN</v>
      </c>
      <c r="AA198" t="str">
        <f t="shared" si="140"/>
        <v>SUITE 104 B</v>
      </c>
      <c r="AB198" t="str">
        <f t="shared" si="121"/>
        <v>SAIPAN</v>
      </c>
      <c r="AC198" t="str">
        <f t="shared" si="141"/>
        <v>MP</v>
      </c>
      <c r="AD198" t="str">
        <f t="shared" si="118"/>
        <v>96950</v>
      </c>
      <c r="AE198" t="str">
        <f t="shared" si="142"/>
        <v>UNITED STATES OF AMERICA</v>
      </c>
      <c r="AF198" t="str">
        <f t="shared" si="143"/>
        <v>N/A</v>
      </c>
      <c r="AG198" s="4" t="str">
        <f t="shared" si="144"/>
        <v>16703236877</v>
      </c>
      <c r="AH198" t="str">
        <f>""</f>
        <v/>
      </c>
      <c r="AI198" t="str">
        <f>"62161"</f>
        <v>62161</v>
      </c>
      <c r="AJ198" t="s">
        <v>79</v>
      </c>
      <c r="AK198" t="s">
        <v>79</v>
      </c>
      <c r="AL198" t="s">
        <v>80</v>
      </c>
      <c r="AM198" t="s">
        <v>79</v>
      </c>
      <c r="AP198" t="str">
        <f>"CHILD, FAMILY, AND SCHOOL SOCIAL WORKERS"</f>
        <v>CHILD, FAMILY, AND SCHOOL SOCIAL WORKERS</v>
      </c>
      <c r="AQ198" t="str">
        <f>"21-1021.00"</f>
        <v>21-1021.00</v>
      </c>
      <c r="AR198" t="str">
        <f>"Child, Family, and School Social Workers"</f>
        <v>Child, Family, and School Social Workers</v>
      </c>
      <c r="AS198" t="str">
        <f>"CASE MANAGER"</f>
        <v>CASE MANAGER</v>
      </c>
      <c r="AT198" t="s">
        <v>79</v>
      </c>
      <c r="AU198" t="str">
        <f>""</f>
        <v/>
      </c>
      <c r="AV198" t="str">
        <f>""</f>
        <v/>
      </c>
      <c r="AW198" t="s">
        <v>82</v>
      </c>
      <c r="AX198" t="str">
        <f>"FROM OFFICE TO PATIENT HOME"</f>
        <v>FROM OFFICE TO PATIENT HOME</v>
      </c>
      <c r="AY198" t="s">
        <v>124</v>
      </c>
      <c r="BA198" t="s">
        <v>1223</v>
      </c>
      <c r="BB198" t="s">
        <v>79</v>
      </c>
      <c r="BD198" t="s">
        <v>79</v>
      </c>
      <c r="BG198" t="s">
        <v>79</v>
      </c>
      <c r="BJ198" s="2" t="s">
        <v>1251</v>
      </c>
      <c r="BK198" t="str">
        <f t="shared" si="145"/>
        <v>BRI BLDG. KOPA DI ORU ST. GARAPAN</v>
      </c>
      <c r="BL198" t="str">
        <f t="shared" si="146"/>
        <v>SUITE 104 B</v>
      </c>
      <c r="BM198" t="str">
        <f t="shared" si="123"/>
        <v>SAIPAN</v>
      </c>
      <c r="BO198" t="s">
        <v>83</v>
      </c>
      <c r="BP198" s="4" t="str">
        <f t="shared" si="119"/>
        <v>96950</v>
      </c>
      <c r="BQ198" t="s">
        <v>79</v>
      </c>
      <c r="BR198" t="str">
        <f>"21-1021.00"</f>
        <v>21-1021.00</v>
      </c>
      <c r="BS198" t="s">
        <v>1225</v>
      </c>
      <c r="BT198" s="3">
        <v>13.42</v>
      </c>
      <c r="BU198" t="s">
        <v>80</v>
      </c>
      <c r="BV198" t="s">
        <v>90</v>
      </c>
      <c r="BW198" t="s">
        <v>92</v>
      </c>
      <c r="BY198" t="s">
        <v>1226</v>
      </c>
      <c r="BZ198" s="1">
        <v>45107</v>
      </c>
    </row>
    <row r="199" spans="1:78" ht="15" customHeight="1" x14ac:dyDescent="0.25">
      <c r="A199" t="s">
        <v>1252</v>
      </c>
      <c r="B199" t="s">
        <v>94</v>
      </c>
      <c r="C199" s="1">
        <v>44859</v>
      </c>
      <c r="D199" s="1">
        <v>44900</v>
      </c>
      <c r="H199" t="s">
        <v>78</v>
      </c>
      <c r="I199" t="str">
        <f t="shared" si="125"/>
        <v>RAMOS</v>
      </c>
      <c r="J199" t="str">
        <f t="shared" si="126"/>
        <v>GIA</v>
      </c>
      <c r="K199" t="str">
        <f t="shared" si="127"/>
        <v>BLANCAFLOR</v>
      </c>
      <c r="L199" t="str">
        <f t="shared" si="124"/>
        <v>PRESIDENT</v>
      </c>
      <c r="M199" t="str">
        <f t="shared" si="128"/>
        <v>PO BOX 9663</v>
      </c>
      <c r="N199" t="str">
        <f>""</f>
        <v/>
      </c>
      <c r="O199" t="str">
        <f t="shared" si="129"/>
        <v>TAMUNING</v>
      </c>
      <c r="P199" t="str">
        <f t="shared" si="130"/>
        <v>GU</v>
      </c>
      <c r="Q199" s="4" t="str">
        <f t="shared" si="131"/>
        <v>96931</v>
      </c>
      <c r="R199" t="str">
        <f t="shared" si="132"/>
        <v>UNITED STATES OF AMERICA</v>
      </c>
      <c r="S199" t="str">
        <f t="shared" si="133"/>
        <v>N/A</v>
      </c>
      <c r="T199" s="5" t="str">
        <f t="shared" si="134"/>
        <v>16716498746</v>
      </c>
      <c r="U199" t="str">
        <f t="shared" si="135"/>
        <v>203</v>
      </c>
      <c r="V199" s="5" t="str">
        <f>""</f>
        <v/>
      </c>
      <c r="W199" t="str">
        <f t="shared" si="136"/>
        <v>admin@hhcare.co</v>
      </c>
      <c r="X199" t="str">
        <f t="shared" si="137"/>
        <v>TENDER HOSPICE CARE, INC.</v>
      </c>
      <c r="Y199" t="str">
        <f t="shared" si="138"/>
        <v>Tender Care</v>
      </c>
      <c r="Z199" t="str">
        <f t="shared" si="139"/>
        <v>BRI BLDG. KOPA DI ORU ST. GARAPAN</v>
      </c>
      <c r="AA199" t="str">
        <f t="shared" si="140"/>
        <v>SUITE 104 B</v>
      </c>
      <c r="AB199" t="str">
        <f t="shared" si="121"/>
        <v>SAIPAN</v>
      </c>
      <c r="AC199" t="str">
        <f t="shared" si="141"/>
        <v>MP</v>
      </c>
      <c r="AD199" t="str">
        <f t="shared" si="118"/>
        <v>96950</v>
      </c>
      <c r="AE199" t="str">
        <f t="shared" si="142"/>
        <v>UNITED STATES OF AMERICA</v>
      </c>
      <c r="AF199" t="str">
        <f t="shared" si="143"/>
        <v>N/A</v>
      </c>
      <c r="AG199" s="4" t="str">
        <f t="shared" si="144"/>
        <v>16703236877</v>
      </c>
      <c r="AH199" t="str">
        <f>""</f>
        <v/>
      </c>
      <c r="AI199" t="str">
        <f>"6216"</f>
        <v>6216</v>
      </c>
      <c r="AJ199" t="s">
        <v>79</v>
      </c>
      <c r="AK199" t="s">
        <v>79</v>
      </c>
      <c r="AL199" t="s">
        <v>80</v>
      </c>
      <c r="AM199" t="s">
        <v>79</v>
      </c>
      <c r="AP199" t="str">
        <f>"FIRST LINE SUPERVISORS OF NON RETAIL SALES WORKER"</f>
        <v>FIRST LINE SUPERVISORS OF NON RETAIL SALES WORKER</v>
      </c>
      <c r="AQ199" t="str">
        <f>"41-1012.00"</f>
        <v>41-1012.00</v>
      </c>
      <c r="AR199" t="str">
        <f>"First-Line Supervisors of Non-Retail Sales Workers"</f>
        <v>First-Line Supervisors of Non-Retail Sales Workers</v>
      </c>
      <c r="AS199" t="str">
        <f>"OFFICE MANAGER"</f>
        <v>OFFICE MANAGER</v>
      </c>
      <c r="AT199" t="s">
        <v>82</v>
      </c>
      <c r="AU199" t="str">
        <f>"3"</f>
        <v>3</v>
      </c>
      <c r="AV199" t="str">
        <f>"Subordinate"</f>
        <v>Subordinate</v>
      </c>
      <c r="AW199" t="s">
        <v>79</v>
      </c>
      <c r="AX199" t="str">
        <f>""</f>
        <v/>
      </c>
      <c r="AY199" t="s">
        <v>124</v>
      </c>
      <c r="BA199" t="s">
        <v>835</v>
      </c>
      <c r="BB199" t="s">
        <v>79</v>
      </c>
      <c r="BD199" t="s">
        <v>79</v>
      </c>
      <c r="BG199" t="s">
        <v>82</v>
      </c>
      <c r="BH199">
        <v>12</v>
      </c>
      <c r="BI199" t="s">
        <v>834</v>
      </c>
      <c r="BJ199" t="s">
        <v>115</v>
      </c>
      <c r="BK199" t="str">
        <f t="shared" si="145"/>
        <v>BRI BLDG. KOPA DI ORU ST. GARAPAN</v>
      </c>
      <c r="BL199" t="str">
        <f t="shared" si="146"/>
        <v>SUITE 104 B</v>
      </c>
      <c r="BM199" t="str">
        <f t="shared" si="123"/>
        <v>SAIPAN</v>
      </c>
      <c r="BO199" t="s">
        <v>83</v>
      </c>
      <c r="BP199" s="4" t="str">
        <f t="shared" si="119"/>
        <v>96950</v>
      </c>
      <c r="BQ199" t="s">
        <v>79</v>
      </c>
      <c r="BR199" t="str">
        <f>"41-1012.00"</f>
        <v>41-1012.00</v>
      </c>
      <c r="BS199" t="s">
        <v>836</v>
      </c>
      <c r="BT199" s="3">
        <v>10.49</v>
      </c>
      <c r="BU199" t="s">
        <v>80</v>
      </c>
      <c r="BV199" t="s">
        <v>90</v>
      </c>
      <c r="BW199" t="s">
        <v>92</v>
      </c>
      <c r="BZ199" s="1">
        <v>45107</v>
      </c>
    </row>
    <row r="200" spans="1:78" ht="15" customHeight="1" x14ac:dyDescent="0.25">
      <c r="A200" t="s">
        <v>1253</v>
      </c>
      <c r="B200" t="s">
        <v>94</v>
      </c>
      <c r="C200" s="1">
        <v>44859</v>
      </c>
      <c r="D200" s="1">
        <v>44900</v>
      </c>
      <c r="H200" t="s">
        <v>78</v>
      </c>
      <c r="I200" t="str">
        <f t="shared" si="125"/>
        <v>RAMOS</v>
      </c>
      <c r="J200" t="str">
        <f t="shared" si="126"/>
        <v>GIA</v>
      </c>
      <c r="K200" t="str">
        <f t="shared" si="127"/>
        <v>BLANCAFLOR</v>
      </c>
      <c r="L200" t="str">
        <f t="shared" si="124"/>
        <v>PRESIDENT</v>
      </c>
      <c r="M200" t="str">
        <f t="shared" si="128"/>
        <v>PO BOX 9663</v>
      </c>
      <c r="N200" t="str">
        <f>""</f>
        <v/>
      </c>
      <c r="O200" t="str">
        <f t="shared" si="129"/>
        <v>TAMUNING</v>
      </c>
      <c r="P200" t="str">
        <f t="shared" si="130"/>
        <v>GU</v>
      </c>
      <c r="Q200" s="4" t="str">
        <f t="shared" si="131"/>
        <v>96931</v>
      </c>
      <c r="R200" t="str">
        <f t="shared" si="132"/>
        <v>UNITED STATES OF AMERICA</v>
      </c>
      <c r="S200" t="str">
        <f t="shared" si="133"/>
        <v>N/A</v>
      </c>
      <c r="T200" s="5" t="str">
        <f t="shared" si="134"/>
        <v>16716498746</v>
      </c>
      <c r="U200" t="str">
        <f t="shared" si="135"/>
        <v>203</v>
      </c>
      <c r="V200" s="5" t="str">
        <f>""</f>
        <v/>
      </c>
      <c r="W200" t="str">
        <f t="shared" si="136"/>
        <v>admin@hhcare.co</v>
      </c>
      <c r="X200" t="str">
        <f t="shared" si="137"/>
        <v>TENDER HOSPICE CARE, INC.</v>
      </c>
      <c r="Y200" t="str">
        <f t="shared" si="138"/>
        <v>Tender Care</v>
      </c>
      <c r="Z200" t="str">
        <f t="shared" si="139"/>
        <v>BRI BLDG. KOPA DI ORU ST. GARAPAN</v>
      </c>
      <c r="AA200" t="str">
        <f t="shared" si="140"/>
        <v>SUITE 104 B</v>
      </c>
      <c r="AB200" t="str">
        <f t="shared" si="121"/>
        <v>SAIPAN</v>
      </c>
      <c r="AC200" t="str">
        <f t="shared" si="141"/>
        <v>MP</v>
      </c>
      <c r="AD200" t="str">
        <f t="shared" si="118"/>
        <v>96950</v>
      </c>
      <c r="AE200" t="str">
        <f t="shared" si="142"/>
        <v>UNITED STATES OF AMERICA</v>
      </c>
      <c r="AF200" t="str">
        <f t="shared" si="143"/>
        <v>N/A</v>
      </c>
      <c r="AG200" s="4" t="str">
        <f t="shared" si="144"/>
        <v>16703236877</v>
      </c>
      <c r="AH200" t="str">
        <f>""</f>
        <v/>
      </c>
      <c r="AI200" t="str">
        <f>"62161"</f>
        <v>62161</v>
      </c>
      <c r="AJ200" t="s">
        <v>79</v>
      </c>
      <c r="AK200" t="s">
        <v>79</v>
      </c>
      <c r="AL200" t="s">
        <v>80</v>
      </c>
      <c r="AM200" t="s">
        <v>79</v>
      </c>
      <c r="AP200" t="str">
        <f>"PHYSICAL THERAPIST"</f>
        <v>PHYSICAL THERAPIST</v>
      </c>
      <c r="AQ200" t="str">
        <f>"29-1123.00"</f>
        <v>29-1123.00</v>
      </c>
      <c r="AR200" t="str">
        <f>"Physical Therapists"</f>
        <v>Physical Therapists</v>
      </c>
      <c r="AS200" t="str">
        <f>"CLINICAL MANAGER"</f>
        <v>CLINICAL MANAGER</v>
      </c>
      <c r="AT200" t="s">
        <v>79</v>
      </c>
      <c r="AU200" t="str">
        <f>""</f>
        <v/>
      </c>
      <c r="AV200" t="str">
        <f>""</f>
        <v/>
      </c>
      <c r="AW200" t="s">
        <v>82</v>
      </c>
      <c r="AX200" t="str">
        <f>"FROM OFFICE TO PATIENT HOME"</f>
        <v>FROM OFFICE TO PATIENT HOME</v>
      </c>
      <c r="AY200" t="s">
        <v>95</v>
      </c>
      <c r="BA200" t="s">
        <v>1254</v>
      </c>
      <c r="BB200" t="s">
        <v>79</v>
      </c>
      <c r="BD200" t="s">
        <v>79</v>
      </c>
      <c r="BG200" t="s">
        <v>79</v>
      </c>
      <c r="BJ200" t="s">
        <v>1091</v>
      </c>
      <c r="BK200" t="str">
        <f t="shared" si="145"/>
        <v>BRI BLDG. KOPA DI ORU ST. GARAPAN</v>
      </c>
      <c r="BL200" t="str">
        <f t="shared" si="146"/>
        <v>SUITE 104 B</v>
      </c>
      <c r="BM200" t="str">
        <f t="shared" si="123"/>
        <v>SAIPAN</v>
      </c>
      <c r="BO200" t="s">
        <v>83</v>
      </c>
      <c r="BP200" s="4" t="str">
        <f t="shared" si="119"/>
        <v>96950</v>
      </c>
      <c r="BQ200" t="s">
        <v>79</v>
      </c>
      <c r="BR200" t="str">
        <f>"29-1123.00"</f>
        <v>29-1123.00</v>
      </c>
      <c r="BS200" t="s">
        <v>1088</v>
      </c>
      <c r="BT200" s="3">
        <v>43</v>
      </c>
      <c r="BU200" t="s">
        <v>80</v>
      </c>
      <c r="BV200" t="s">
        <v>90</v>
      </c>
      <c r="BW200" t="s">
        <v>92</v>
      </c>
      <c r="BY200" t="s">
        <v>1226</v>
      </c>
      <c r="BZ200" s="1">
        <v>45107</v>
      </c>
    </row>
    <row r="201" spans="1:78" ht="15" customHeight="1" x14ac:dyDescent="0.25">
      <c r="A201" t="s">
        <v>1255</v>
      </c>
      <c r="B201" t="s">
        <v>94</v>
      </c>
      <c r="C201" s="1">
        <v>44859</v>
      </c>
      <c r="D201" s="1">
        <v>44900</v>
      </c>
      <c r="H201" t="s">
        <v>78</v>
      </c>
      <c r="I201" t="str">
        <f t="shared" si="125"/>
        <v>RAMOS</v>
      </c>
      <c r="J201" t="str">
        <f t="shared" si="126"/>
        <v>GIA</v>
      </c>
      <c r="K201" t="str">
        <f t="shared" si="127"/>
        <v>BLANCAFLOR</v>
      </c>
      <c r="L201" t="str">
        <f t="shared" si="124"/>
        <v>PRESIDENT</v>
      </c>
      <c r="M201" t="str">
        <f t="shared" si="128"/>
        <v>PO BOX 9663</v>
      </c>
      <c r="N201" t="str">
        <f>""</f>
        <v/>
      </c>
      <c r="O201" t="str">
        <f t="shared" si="129"/>
        <v>TAMUNING</v>
      </c>
      <c r="P201" t="str">
        <f t="shared" si="130"/>
        <v>GU</v>
      </c>
      <c r="Q201" s="4" t="str">
        <f t="shared" si="131"/>
        <v>96931</v>
      </c>
      <c r="R201" t="str">
        <f t="shared" si="132"/>
        <v>UNITED STATES OF AMERICA</v>
      </c>
      <c r="S201" t="str">
        <f t="shared" si="133"/>
        <v>N/A</v>
      </c>
      <c r="T201" s="5" t="str">
        <f t="shared" si="134"/>
        <v>16716498746</v>
      </c>
      <c r="U201" t="str">
        <f t="shared" si="135"/>
        <v>203</v>
      </c>
      <c r="V201" s="5" t="str">
        <f>""</f>
        <v/>
      </c>
      <c r="W201" t="str">
        <f t="shared" si="136"/>
        <v>admin@hhcare.co</v>
      </c>
      <c r="X201" t="str">
        <f t="shared" si="137"/>
        <v>TENDER HOSPICE CARE, INC.</v>
      </c>
      <c r="Y201" t="str">
        <f t="shared" si="138"/>
        <v>Tender Care</v>
      </c>
      <c r="Z201" t="str">
        <f t="shared" si="139"/>
        <v>BRI BLDG. KOPA DI ORU ST. GARAPAN</v>
      </c>
      <c r="AA201" t="str">
        <f t="shared" si="140"/>
        <v>SUITE 104 B</v>
      </c>
      <c r="AB201" t="str">
        <f t="shared" si="121"/>
        <v>SAIPAN</v>
      </c>
      <c r="AC201" t="str">
        <f t="shared" si="141"/>
        <v>MP</v>
      </c>
      <c r="AD201" t="str">
        <f t="shared" si="118"/>
        <v>96950</v>
      </c>
      <c r="AE201" t="str">
        <f t="shared" si="142"/>
        <v>UNITED STATES OF AMERICA</v>
      </c>
      <c r="AF201" t="str">
        <f t="shared" si="143"/>
        <v>N/A</v>
      </c>
      <c r="AG201" s="4" t="str">
        <f t="shared" si="144"/>
        <v>16703236877</v>
      </c>
      <c r="AH201" t="str">
        <f>""</f>
        <v/>
      </c>
      <c r="AI201" t="str">
        <f>"62161"</f>
        <v>62161</v>
      </c>
      <c r="AJ201" t="s">
        <v>79</v>
      </c>
      <c r="AK201" t="s">
        <v>79</v>
      </c>
      <c r="AL201" t="s">
        <v>80</v>
      </c>
      <c r="AM201" t="s">
        <v>79</v>
      </c>
      <c r="AP201" t="str">
        <f>"PHYSICAL THERAPIST AIDE"</f>
        <v>PHYSICAL THERAPIST AIDE</v>
      </c>
      <c r="AQ201" t="str">
        <f>"31-2022.00"</f>
        <v>31-2022.00</v>
      </c>
      <c r="AR201" t="str">
        <f>"Physical Therapist Aides"</f>
        <v>Physical Therapist Aides</v>
      </c>
      <c r="AS201" t="str">
        <f>"CLINICAL MANAGER"</f>
        <v>CLINICAL MANAGER</v>
      </c>
      <c r="AT201" t="s">
        <v>79</v>
      </c>
      <c r="AU201" t="str">
        <f>""</f>
        <v/>
      </c>
      <c r="AV201" t="str">
        <f>""</f>
        <v/>
      </c>
      <c r="AW201" t="s">
        <v>82</v>
      </c>
      <c r="AX201" t="str">
        <f>"FROM OFFICE TO PATIENT HOME"</f>
        <v>FROM OFFICE TO PATIENT HOME</v>
      </c>
      <c r="AY201" t="s">
        <v>81</v>
      </c>
      <c r="BA201" t="s">
        <v>80</v>
      </c>
      <c r="BB201" t="s">
        <v>79</v>
      </c>
      <c r="BD201" t="s">
        <v>79</v>
      </c>
      <c r="BG201" t="s">
        <v>82</v>
      </c>
      <c r="BH201">
        <v>12</v>
      </c>
      <c r="BI201" t="s">
        <v>1256</v>
      </c>
      <c r="BJ201" t="s">
        <v>1212</v>
      </c>
      <c r="BK201" t="str">
        <f t="shared" si="145"/>
        <v>BRI BLDG. KOPA DI ORU ST. GARAPAN</v>
      </c>
      <c r="BL201" t="str">
        <f t="shared" si="146"/>
        <v>SUITE 104 B</v>
      </c>
      <c r="BM201" t="str">
        <f t="shared" si="123"/>
        <v>SAIPAN</v>
      </c>
      <c r="BO201" t="s">
        <v>83</v>
      </c>
      <c r="BP201" s="4" t="str">
        <f t="shared" si="119"/>
        <v>96950</v>
      </c>
      <c r="BQ201" t="s">
        <v>79</v>
      </c>
      <c r="BR201" t="str">
        <f>"31-2022.00"</f>
        <v>31-2022.00</v>
      </c>
      <c r="BS201" t="s">
        <v>1209</v>
      </c>
      <c r="BT201" s="3">
        <v>9.93</v>
      </c>
      <c r="BU201" t="s">
        <v>80</v>
      </c>
      <c r="BV201" t="s">
        <v>90</v>
      </c>
      <c r="BW201" t="s">
        <v>265</v>
      </c>
      <c r="BZ201" s="1">
        <v>45107</v>
      </c>
    </row>
    <row r="202" spans="1:78" ht="15" customHeight="1" x14ac:dyDescent="0.25">
      <c r="A202" t="s">
        <v>1257</v>
      </c>
      <c r="B202" t="s">
        <v>94</v>
      </c>
      <c r="C202" s="1">
        <v>44859</v>
      </c>
      <c r="D202" s="1">
        <v>44900</v>
      </c>
      <c r="H202" t="s">
        <v>78</v>
      </c>
      <c r="I202" t="str">
        <f t="shared" si="125"/>
        <v>RAMOS</v>
      </c>
      <c r="J202" t="str">
        <f t="shared" si="126"/>
        <v>GIA</v>
      </c>
      <c r="K202" t="str">
        <f t="shared" si="127"/>
        <v>BLANCAFLOR</v>
      </c>
      <c r="L202" t="str">
        <f t="shared" si="124"/>
        <v>PRESIDENT</v>
      </c>
      <c r="M202" t="str">
        <f t="shared" si="128"/>
        <v>PO BOX 9663</v>
      </c>
      <c r="N202" t="str">
        <f>""</f>
        <v/>
      </c>
      <c r="O202" t="str">
        <f t="shared" si="129"/>
        <v>TAMUNING</v>
      </c>
      <c r="P202" t="str">
        <f t="shared" si="130"/>
        <v>GU</v>
      </c>
      <c r="Q202" s="4" t="str">
        <f t="shared" si="131"/>
        <v>96931</v>
      </c>
      <c r="R202" t="str">
        <f t="shared" si="132"/>
        <v>UNITED STATES OF AMERICA</v>
      </c>
      <c r="S202" t="str">
        <f t="shared" si="133"/>
        <v>N/A</v>
      </c>
      <c r="T202" s="5" t="str">
        <f t="shared" si="134"/>
        <v>16716498746</v>
      </c>
      <c r="U202" t="str">
        <f t="shared" si="135"/>
        <v>203</v>
      </c>
      <c r="V202" s="5" t="str">
        <f>""</f>
        <v/>
      </c>
      <c r="W202" t="str">
        <f t="shared" si="136"/>
        <v>admin@hhcare.co</v>
      </c>
      <c r="X202" t="str">
        <f>"MVN, INC."</f>
        <v>MVN, INC.</v>
      </c>
      <c r="Y202" t="str">
        <f>"PT REHAB CENTER"</f>
        <v>PT REHAB CENTER</v>
      </c>
      <c r="Z202" t="str">
        <f>"BRI BUILDING KOPA DI ORU ST. GARAPAN"</f>
        <v>BRI BUILDING KOPA DI ORU ST. GARAPAN</v>
      </c>
      <c r="AA202" t="str">
        <f>"SUITE 103"</f>
        <v>SUITE 103</v>
      </c>
      <c r="AB202" t="str">
        <f t="shared" si="121"/>
        <v>SAIPAN</v>
      </c>
      <c r="AC202" t="str">
        <f t="shared" si="141"/>
        <v>MP</v>
      </c>
      <c r="AD202" t="str">
        <f t="shared" si="118"/>
        <v>96950</v>
      </c>
      <c r="AE202" t="str">
        <f t="shared" si="142"/>
        <v>UNITED STATES OF AMERICA</v>
      </c>
      <c r="AF202" t="str">
        <f t="shared" si="143"/>
        <v>N/A</v>
      </c>
      <c r="AG202" s="4" t="str">
        <f t="shared" si="144"/>
        <v>16703236877</v>
      </c>
      <c r="AH202" t="str">
        <f>""</f>
        <v/>
      </c>
      <c r="AI202" t="str">
        <f>"62161"</f>
        <v>62161</v>
      </c>
      <c r="AJ202" t="s">
        <v>79</v>
      </c>
      <c r="AK202" t="s">
        <v>79</v>
      </c>
      <c r="AL202" t="s">
        <v>80</v>
      </c>
      <c r="AM202" t="s">
        <v>79</v>
      </c>
      <c r="AP202" t="str">
        <f>"PHYSICAL THERAPIST AIDE"</f>
        <v>PHYSICAL THERAPIST AIDE</v>
      </c>
      <c r="AQ202" t="str">
        <f>"31-2022.00"</f>
        <v>31-2022.00</v>
      </c>
      <c r="AR202" t="str">
        <f>"Physical Therapist Aides"</f>
        <v>Physical Therapist Aides</v>
      </c>
      <c r="AS202" t="str">
        <f>"CLINICAL MANAGER"</f>
        <v>CLINICAL MANAGER</v>
      </c>
      <c r="AT202" t="s">
        <v>79</v>
      </c>
      <c r="AU202" t="str">
        <f>""</f>
        <v/>
      </c>
      <c r="AV202" t="str">
        <f>""</f>
        <v/>
      </c>
      <c r="AW202" t="s">
        <v>79</v>
      </c>
      <c r="AX202" t="str">
        <f>""</f>
        <v/>
      </c>
      <c r="AY202" t="s">
        <v>81</v>
      </c>
      <c r="BA202" t="s">
        <v>80</v>
      </c>
      <c r="BB202" t="s">
        <v>79</v>
      </c>
      <c r="BD202" t="s">
        <v>79</v>
      </c>
      <c r="BG202" t="s">
        <v>82</v>
      </c>
      <c r="BH202">
        <v>12</v>
      </c>
      <c r="BI202" t="s">
        <v>1256</v>
      </c>
      <c r="BJ202" t="s">
        <v>1212</v>
      </c>
      <c r="BK202" t="str">
        <f>"BRI BUILDING KOPA DI ORU ST. GARAPAN"</f>
        <v>BRI BUILDING KOPA DI ORU ST. GARAPAN</v>
      </c>
      <c r="BL202" t="str">
        <f>"SUITE 103"</f>
        <v>SUITE 103</v>
      </c>
      <c r="BM202" t="str">
        <f t="shared" si="123"/>
        <v>SAIPAN</v>
      </c>
      <c r="BO202" t="s">
        <v>83</v>
      </c>
      <c r="BP202" s="4" t="str">
        <f t="shared" si="119"/>
        <v>96950</v>
      </c>
      <c r="BQ202" t="s">
        <v>79</v>
      </c>
      <c r="BR202" t="str">
        <f>"31-2022.00"</f>
        <v>31-2022.00</v>
      </c>
      <c r="BS202" t="s">
        <v>1209</v>
      </c>
      <c r="BT202" s="3">
        <v>9.93</v>
      </c>
      <c r="BU202" t="s">
        <v>80</v>
      </c>
      <c r="BV202" t="s">
        <v>90</v>
      </c>
      <c r="BW202" t="s">
        <v>265</v>
      </c>
      <c r="BZ202" s="1">
        <v>45107</v>
      </c>
    </row>
    <row r="203" spans="1:78" ht="15" customHeight="1" x14ac:dyDescent="0.25">
      <c r="A203" t="s">
        <v>1258</v>
      </c>
      <c r="B203" t="s">
        <v>94</v>
      </c>
      <c r="C203" s="1">
        <v>44859</v>
      </c>
      <c r="D203" s="1">
        <v>44900</v>
      </c>
      <c r="H203" t="s">
        <v>78</v>
      </c>
      <c r="I203" t="str">
        <f>"SABADO"</f>
        <v>SABADO</v>
      </c>
      <c r="J203" t="str">
        <f>"GLORIA"</f>
        <v>GLORIA</v>
      </c>
      <c r="K203" t="str">
        <f>"ABRAHAM"</f>
        <v>ABRAHAM</v>
      </c>
      <c r="L203" t="str">
        <f>"AUTHORIZED REPRESENTATIVE"</f>
        <v>AUTHORIZED REPRESENTATIVE</v>
      </c>
      <c r="M203" t="str">
        <f>"P.O. BOX 501494, BEACH ROAD"</f>
        <v>P.O. BOX 501494, BEACH ROAD</v>
      </c>
      <c r="N203" t="str">
        <f>"CHALAN LAULAU"</f>
        <v>CHALAN LAULAU</v>
      </c>
      <c r="O203" t="str">
        <f>"SAIPAN"</f>
        <v>SAIPAN</v>
      </c>
      <c r="P203" t="str">
        <f t="shared" ref="P203:P235" si="147">"MP"</f>
        <v>MP</v>
      </c>
      <c r="Q203" s="4" t="str">
        <f t="shared" ref="Q203:Q224" si="148">"96950"</f>
        <v>96950</v>
      </c>
      <c r="R203" t="str">
        <f t="shared" si="132"/>
        <v>UNITED STATES OF AMERICA</v>
      </c>
      <c r="S203" t="str">
        <f>"MP"</f>
        <v>MP</v>
      </c>
      <c r="T203" s="5" t="str">
        <f>"16702343041"</f>
        <v>16702343041</v>
      </c>
      <c r="U203" t="str">
        <f>""</f>
        <v/>
      </c>
      <c r="V203" s="5" t="str">
        <f>""</f>
        <v/>
      </c>
      <c r="W203" t="str">
        <f>"daystarcorporation@yahoo.com"</f>
        <v>daystarcorporation@yahoo.com</v>
      </c>
      <c r="X203" t="str">
        <f>"DAYSTAR CORPORATION"</f>
        <v>DAYSTAR CORPORATION</v>
      </c>
      <c r="Y203" t="str">
        <f>"DAYSTAR FISH STORE"</f>
        <v>DAYSTAR FISH STORE</v>
      </c>
      <c r="Z203" t="str">
        <f>"P.O. BOX 501494, BEACH ROAD"</f>
        <v>P.O. BOX 501494, BEACH ROAD</v>
      </c>
      <c r="AA203" t="str">
        <f>"CHALAN LAULAU"</f>
        <v>CHALAN LAULAU</v>
      </c>
      <c r="AB203" t="str">
        <f t="shared" si="121"/>
        <v>SAIPAN</v>
      </c>
      <c r="AC203" t="str">
        <f t="shared" si="141"/>
        <v>MP</v>
      </c>
      <c r="AD203" t="str">
        <f t="shared" si="118"/>
        <v>96950</v>
      </c>
      <c r="AE203" t="str">
        <f t="shared" si="142"/>
        <v>UNITED STATES OF AMERICA</v>
      </c>
      <c r="AF203" t="str">
        <f>"MP"</f>
        <v>MP</v>
      </c>
      <c r="AG203" s="4" t="str">
        <f>"16702343041"</f>
        <v>16702343041</v>
      </c>
      <c r="AH203" t="str">
        <f>""</f>
        <v/>
      </c>
      <c r="AI203" t="str">
        <f>"11411"</f>
        <v>11411</v>
      </c>
      <c r="AJ203" t="s">
        <v>79</v>
      </c>
      <c r="AK203" t="s">
        <v>79</v>
      </c>
      <c r="AL203" t="s">
        <v>80</v>
      </c>
      <c r="AM203" t="s">
        <v>79</v>
      </c>
      <c r="AP203" t="str">
        <f>"SALES MANAGER"</f>
        <v>SALES MANAGER</v>
      </c>
      <c r="AQ203" t="str">
        <f>"11-2022.00"</f>
        <v>11-2022.00</v>
      </c>
      <c r="AR203" t="str">
        <f>"Sales Managers"</f>
        <v>Sales Managers</v>
      </c>
      <c r="AS203" t="str">
        <f>"PRESIDENT"</f>
        <v>PRESIDENT</v>
      </c>
      <c r="AT203" t="s">
        <v>79</v>
      </c>
      <c r="AU203" t="str">
        <f>""</f>
        <v/>
      </c>
      <c r="AV203" t="str">
        <f>""</f>
        <v/>
      </c>
      <c r="AW203" t="s">
        <v>79</v>
      </c>
      <c r="AX203" t="str">
        <f>""</f>
        <v/>
      </c>
      <c r="AY203" t="s">
        <v>84</v>
      </c>
      <c r="BA203" t="s">
        <v>80</v>
      </c>
      <c r="BB203" t="s">
        <v>79</v>
      </c>
      <c r="BD203" t="s">
        <v>79</v>
      </c>
      <c r="BG203" t="s">
        <v>82</v>
      </c>
      <c r="BH203">
        <v>12</v>
      </c>
      <c r="BI203" t="s">
        <v>721</v>
      </c>
      <c r="BJ203" t="s">
        <v>1259</v>
      </c>
      <c r="BK203" t="str">
        <f>"BEACH ROAD"</f>
        <v>BEACH ROAD</v>
      </c>
      <c r="BL203" t="str">
        <f>"CHALAN LAULAU"</f>
        <v>CHALAN LAULAU</v>
      </c>
      <c r="BM203" t="str">
        <f t="shared" si="123"/>
        <v>SAIPAN</v>
      </c>
      <c r="BO203" t="s">
        <v>83</v>
      </c>
      <c r="BP203" s="4" t="str">
        <f t="shared" si="119"/>
        <v>96950</v>
      </c>
      <c r="BQ203" t="s">
        <v>79</v>
      </c>
      <c r="BR203" t="str">
        <f>"11-2022.00"</f>
        <v>11-2022.00</v>
      </c>
      <c r="BS203" t="s">
        <v>470</v>
      </c>
      <c r="BT203" s="3">
        <v>16.7</v>
      </c>
      <c r="BU203" t="s">
        <v>80</v>
      </c>
      <c r="BV203" t="s">
        <v>90</v>
      </c>
      <c r="BW203" t="s">
        <v>92</v>
      </c>
      <c r="BZ203" s="1">
        <v>45107</v>
      </c>
    </row>
    <row r="204" spans="1:78" ht="15" customHeight="1" x14ac:dyDescent="0.25">
      <c r="A204" t="s">
        <v>1260</v>
      </c>
      <c r="B204" t="s">
        <v>94</v>
      </c>
      <c r="C204" s="1">
        <v>44859</v>
      </c>
      <c r="D204" s="1">
        <v>44900</v>
      </c>
      <c r="H204" t="s">
        <v>78</v>
      </c>
      <c r="I204" t="str">
        <f>"SABADO"</f>
        <v>SABADO</v>
      </c>
      <c r="J204" t="str">
        <f>"GLORIA"</f>
        <v>GLORIA</v>
      </c>
      <c r="K204" t="str">
        <f>"ABRAHAM"</f>
        <v>ABRAHAM</v>
      </c>
      <c r="L204" t="str">
        <f>"AUTHORIZED REPRESENTATIVE"</f>
        <v>AUTHORIZED REPRESENTATIVE</v>
      </c>
      <c r="M204" t="str">
        <f>"P.O. BOX 501494, BEACH ROAD"</f>
        <v>P.O. BOX 501494, BEACH ROAD</v>
      </c>
      <c r="N204" t="str">
        <f>"CHALAN LAULAU"</f>
        <v>CHALAN LAULAU</v>
      </c>
      <c r="O204" t="str">
        <f>"SAIPAN"</f>
        <v>SAIPAN</v>
      </c>
      <c r="P204" t="str">
        <f t="shared" si="147"/>
        <v>MP</v>
      </c>
      <c r="Q204" s="4" t="str">
        <f t="shared" si="148"/>
        <v>96950</v>
      </c>
      <c r="R204" t="str">
        <f t="shared" si="132"/>
        <v>UNITED STATES OF AMERICA</v>
      </c>
      <c r="S204" t="str">
        <f>"MP"</f>
        <v>MP</v>
      </c>
      <c r="T204" s="5" t="str">
        <f>"16702343041"</f>
        <v>16702343041</v>
      </c>
      <c r="U204" t="str">
        <f>""</f>
        <v/>
      </c>
      <c r="V204" s="5" t="str">
        <f>""</f>
        <v/>
      </c>
      <c r="W204" t="str">
        <f>"daystarcorporation@yahoo.com"</f>
        <v>daystarcorporation@yahoo.com</v>
      </c>
      <c r="X204" t="str">
        <f>"DAYSTAR CORPORATION"</f>
        <v>DAYSTAR CORPORATION</v>
      </c>
      <c r="Y204" t="str">
        <f>"DAYSTAR FISH STORE"</f>
        <v>DAYSTAR FISH STORE</v>
      </c>
      <c r="Z204" t="str">
        <f>"P.O. BOX 501494, BEACH ROAD"</f>
        <v>P.O. BOX 501494, BEACH ROAD</v>
      </c>
      <c r="AA204" t="str">
        <f>"CHALAN LAULAU"</f>
        <v>CHALAN LAULAU</v>
      </c>
      <c r="AB204" t="str">
        <f t="shared" si="121"/>
        <v>SAIPAN</v>
      </c>
      <c r="AC204" t="str">
        <f t="shared" si="141"/>
        <v>MP</v>
      </c>
      <c r="AD204" t="str">
        <f t="shared" si="118"/>
        <v>96950</v>
      </c>
      <c r="AE204" t="str">
        <f t="shared" si="142"/>
        <v>UNITED STATES OF AMERICA</v>
      </c>
      <c r="AF204" t="str">
        <f>"MP"</f>
        <v>MP</v>
      </c>
      <c r="AG204" s="4" t="str">
        <f>"16702343041"</f>
        <v>16702343041</v>
      </c>
      <c r="AH204" t="str">
        <f>""</f>
        <v/>
      </c>
      <c r="AI204" t="str">
        <f>"11411"</f>
        <v>11411</v>
      </c>
      <c r="AJ204" t="s">
        <v>79</v>
      </c>
      <c r="AK204" t="s">
        <v>79</v>
      </c>
      <c r="AL204" t="s">
        <v>80</v>
      </c>
      <c r="AM204" t="s">
        <v>79</v>
      </c>
      <c r="AP204" t="str">
        <f>"FISHERMAN"</f>
        <v>FISHERMAN</v>
      </c>
      <c r="AQ204" t="str">
        <f>"45-3031.00"</f>
        <v>45-3031.00</v>
      </c>
      <c r="AR204" t="str">
        <f>"Fishing and Hunting Workers"</f>
        <v>Fishing and Hunting Workers</v>
      </c>
      <c r="AS204" t="str">
        <f>"MANAGER"</f>
        <v>MANAGER</v>
      </c>
      <c r="AT204" t="s">
        <v>79</v>
      </c>
      <c r="AU204" t="str">
        <f>""</f>
        <v/>
      </c>
      <c r="AV204" t="str">
        <f>""</f>
        <v/>
      </c>
      <c r="AW204" t="s">
        <v>79</v>
      </c>
      <c r="AX204" t="str">
        <f>""</f>
        <v/>
      </c>
      <c r="AY204" t="s">
        <v>81</v>
      </c>
      <c r="BA204" t="s">
        <v>80</v>
      </c>
      <c r="BB204" t="s">
        <v>79</v>
      </c>
      <c r="BD204" t="s">
        <v>79</v>
      </c>
      <c r="BG204" t="s">
        <v>82</v>
      </c>
      <c r="BH204">
        <v>3</v>
      </c>
      <c r="BI204" t="s">
        <v>724</v>
      </c>
      <c r="BJ204" t="s">
        <v>1261</v>
      </c>
      <c r="BK204" t="str">
        <f>"BEACH ROAD"</f>
        <v>BEACH ROAD</v>
      </c>
      <c r="BL204" t="str">
        <f>"CHALAN LAULAU"</f>
        <v>CHALAN LAULAU</v>
      </c>
      <c r="BM204" t="str">
        <f t="shared" si="123"/>
        <v>SAIPAN</v>
      </c>
      <c r="BO204" t="s">
        <v>83</v>
      </c>
      <c r="BP204" s="4" t="str">
        <f t="shared" si="119"/>
        <v>96950</v>
      </c>
      <c r="BQ204" t="s">
        <v>79</v>
      </c>
      <c r="BR204" t="str">
        <f>"45-3031.00"</f>
        <v>45-3031.00</v>
      </c>
      <c r="BS204" t="s">
        <v>726</v>
      </c>
      <c r="BT204" s="3">
        <v>17.18</v>
      </c>
      <c r="BU204" t="s">
        <v>80</v>
      </c>
      <c r="BV204" t="s">
        <v>90</v>
      </c>
      <c r="BW204" t="s">
        <v>464</v>
      </c>
      <c r="BZ204" s="1">
        <v>45107</v>
      </c>
    </row>
    <row r="205" spans="1:78" ht="15" customHeight="1" x14ac:dyDescent="0.25">
      <c r="A205" t="s">
        <v>1262</v>
      </c>
      <c r="B205" t="s">
        <v>94</v>
      </c>
      <c r="C205" s="1">
        <v>44859</v>
      </c>
      <c r="D205" s="1">
        <v>44900</v>
      </c>
      <c r="H205" t="s">
        <v>78</v>
      </c>
      <c r="I205" t="str">
        <f>"FEJERAN"</f>
        <v>FEJERAN</v>
      </c>
      <c r="J205" t="str">
        <f>"BEATRIZ"</f>
        <v>BEATRIZ</v>
      </c>
      <c r="K205" t="str">
        <f>"Q"</f>
        <v>Q</v>
      </c>
      <c r="L205" t="str">
        <f>"Proprietor"</f>
        <v>Proprietor</v>
      </c>
      <c r="M205" t="str">
        <f>"P O BOX 503742"</f>
        <v>P O BOX 503742</v>
      </c>
      <c r="N205" t="str">
        <f>""</f>
        <v/>
      </c>
      <c r="O205" t="str">
        <f>"SAIPAN"</f>
        <v>SAIPAN</v>
      </c>
      <c r="P205" t="str">
        <f t="shared" si="147"/>
        <v>MP</v>
      </c>
      <c r="Q205" s="4" t="str">
        <f t="shared" si="148"/>
        <v>96950</v>
      </c>
      <c r="R205" t="str">
        <f t="shared" si="132"/>
        <v>UNITED STATES OF AMERICA</v>
      </c>
      <c r="S205" t="str">
        <f>""</f>
        <v/>
      </c>
      <c r="T205" s="5" t="str">
        <f>"16702354061"</f>
        <v>16702354061</v>
      </c>
      <c r="U205" t="str">
        <f>""</f>
        <v/>
      </c>
      <c r="V205" s="5" t="str">
        <f>""</f>
        <v/>
      </c>
      <c r="W205" t="str">
        <f>"bettyfejeran1964@gmail.com"</f>
        <v>bettyfejeran1964@gmail.com</v>
      </c>
      <c r="X205" t="str">
        <f>"Beatriz Q. Fejeran"</f>
        <v>Beatriz Q. Fejeran</v>
      </c>
      <c r="Y205" t="str">
        <f>"WJC mart / WJC Pacific Fishing"</f>
        <v>WJC mart / WJC Pacific Fishing</v>
      </c>
      <c r="Z205" t="str">
        <f>"P O BOX 503742"</f>
        <v>P O BOX 503742</v>
      </c>
      <c r="AA205" t="str">
        <f>""</f>
        <v/>
      </c>
      <c r="AB205" t="str">
        <f t="shared" si="121"/>
        <v>SAIPAN</v>
      </c>
      <c r="AC205" t="str">
        <f t="shared" si="141"/>
        <v>MP</v>
      </c>
      <c r="AD205" t="str">
        <f t="shared" si="118"/>
        <v>96950</v>
      </c>
      <c r="AE205" t="str">
        <f t="shared" si="142"/>
        <v>UNITED STATES OF AMERICA</v>
      </c>
      <c r="AF205" t="str">
        <f>""</f>
        <v/>
      </c>
      <c r="AG205" s="4" t="str">
        <f>"16702354061"</f>
        <v>16702354061</v>
      </c>
      <c r="AH205" t="str">
        <f>""</f>
        <v/>
      </c>
      <c r="AI205" t="str">
        <f>"11411"</f>
        <v>11411</v>
      </c>
      <c r="AJ205" t="s">
        <v>79</v>
      </c>
      <c r="AK205" t="s">
        <v>79</v>
      </c>
      <c r="AL205" t="s">
        <v>80</v>
      </c>
      <c r="AM205" t="s">
        <v>79</v>
      </c>
      <c r="AP205" t="str">
        <f>"Retail Sales Person"</f>
        <v>Retail Sales Person</v>
      </c>
      <c r="AQ205" t="str">
        <f>"41-2031.00"</f>
        <v>41-2031.00</v>
      </c>
      <c r="AR205" t="str">
        <f>"Retail Salespersons"</f>
        <v>Retail Salespersons</v>
      </c>
      <c r="AS205" t="str">
        <f>"n/a"</f>
        <v>n/a</v>
      </c>
      <c r="AT205" t="s">
        <v>79</v>
      </c>
      <c r="AU205" t="str">
        <f>""</f>
        <v/>
      </c>
      <c r="AV205" t="str">
        <f>""</f>
        <v/>
      </c>
      <c r="AW205" t="s">
        <v>79</v>
      </c>
      <c r="AX205" t="str">
        <f>""</f>
        <v/>
      </c>
      <c r="AY205" t="s">
        <v>84</v>
      </c>
      <c r="BA205" t="s">
        <v>119</v>
      </c>
      <c r="BB205" t="s">
        <v>79</v>
      </c>
      <c r="BD205" t="s">
        <v>79</v>
      </c>
      <c r="BG205" t="s">
        <v>82</v>
      </c>
      <c r="BH205">
        <v>6</v>
      </c>
      <c r="BI205" t="s">
        <v>1263</v>
      </c>
      <c r="BJ205" s="2" t="s">
        <v>1264</v>
      </c>
      <c r="BK205" t="str">
        <f>"Dandan San Vicente Village"</f>
        <v>Dandan San Vicente Village</v>
      </c>
      <c r="BL205" t="str">
        <f>""</f>
        <v/>
      </c>
      <c r="BM205" t="str">
        <f>"Saipan"</f>
        <v>Saipan</v>
      </c>
      <c r="BO205" t="s">
        <v>83</v>
      </c>
      <c r="BP205" s="4" t="str">
        <f t="shared" si="119"/>
        <v>96950</v>
      </c>
      <c r="BQ205" t="s">
        <v>79</v>
      </c>
      <c r="BR205" t="str">
        <f>"41-2031.00"</f>
        <v>41-2031.00</v>
      </c>
      <c r="BS205" t="s">
        <v>1129</v>
      </c>
      <c r="BT205" s="3">
        <v>8.92</v>
      </c>
      <c r="BU205" t="s">
        <v>80</v>
      </c>
      <c r="BV205" t="s">
        <v>90</v>
      </c>
      <c r="BW205" t="s">
        <v>92</v>
      </c>
      <c r="BZ205" s="1">
        <v>45107</v>
      </c>
    </row>
    <row r="206" spans="1:78" ht="15" customHeight="1" x14ac:dyDescent="0.25">
      <c r="A206" t="s">
        <v>1265</v>
      </c>
      <c r="B206" t="s">
        <v>94</v>
      </c>
      <c r="C206" s="1">
        <v>44859</v>
      </c>
      <c r="D206" s="1">
        <v>44900</v>
      </c>
      <c r="H206" t="s">
        <v>78</v>
      </c>
      <c r="I206" t="str">
        <f>"FEJERAN"</f>
        <v>FEJERAN</v>
      </c>
      <c r="J206" t="str">
        <f>"Beatriz"</f>
        <v>Beatriz</v>
      </c>
      <c r="K206" t="str">
        <f>"Q."</f>
        <v>Q.</v>
      </c>
      <c r="L206" t="str">
        <f>"Proprietor"</f>
        <v>Proprietor</v>
      </c>
      <c r="M206" t="str">
        <f>"P O BOX 503742"</f>
        <v>P O BOX 503742</v>
      </c>
      <c r="N206" t="str">
        <f>""</f>
        <v/>
      </c>
      <c r="O206" t="str">
        <f>"Saipan"</f>
        <v>Saipan</v>
      </c>
      <c r="P206" t="str">
        <f t="shared" si="147"/>
        <v>MP</v>
      </c>
      <c r="Q206" s="4" t="str">
        <f t="shared" si="148"/>
        <v>96950</v>
      </c>
      <c r="R206" t="str">
        <f t="shared" si="132"/>
        <v>UNITED STATES OF AMERICA</v>
      </c>
      <c r="S206" t="str">
        <f>""</f>
        <v/>
      </c>
      <c r="T206" s="5" t="str">
        <f>"16702354061"</f>
        <v>16702354061</v>
      </c>
      <c r="U206" t="str">
        <f>""</f>
        <v/>
      </c>
      <c r="V206" s="5" t="str">
        <f>""</f>
        <v/>
      </c>
      <c r="W206" t="str">
        <f>"bettyfejeran1964@gmail.com"</f>
        <v>bettyfejeran1964@gmail.com</v>
      </c>
      <c r="X206" t="str">
        <f>"Beatriz Q. Fejeran"</f>
        <v>Beatriz Q. Fejeran</v>
      </c>
      <c r="Y206" t="str">
        <f>"WJC MART"</f>
        <v>WJC MART</v>
      </c>
      <c r="Z206" t="str">
        <f>"P.O Box 503742"</f>
        <v>P.O Box 503742</v>
      </c>
      <c r="AA206" t="str">
        <f>""</f>
        <v/>
      </c>
      <c r="AB206" t="str">
        <f>"Saipan"</f>
        <v>Saipan</v>
      </c>
      <c r="AC206" t="str">
        <f t="shared" si="141"/>
        <v>MP</v>
      </c>
      <c r="AD206" t="str">
        <f t="shared" ref="AD206:AD224" si="149">"96950"</f>
        <v>96950</v>
      </c>
      <c r="AE206" t="str">
        <f t="shared" si="142"/>
        <v>UNITED STATES OF AMERICA</v>
      </c>
      <c r="AF206" t="str">
        <f>""</f>
        <v/>
      </c>
      <c r="AG206" s="4" t="str">
        <f>"16702354061"</f>
        <v>16702354061</v>
      </c>
      <c r="AH206" t="str">
        <f>""</f>
        <v/>
      </c>
      <c r="AI206" t="str">
        <f>"11411"</f>
        <v>11411</v>
      </c>
      <c r="AJ206" t="s">
        <v>79</v>
      </c>
      <c r="AK206" t="s">
        <v>79</v>
      </c>
      <c r="AL206" t="s">
        <v>80</v>
      </c>
      <c r="AM206" t="s">
        <v>79</v>
      </c>
      <c r="AP206" t="str">
        <f>"Maintenance and Repair Workers, General"</f>
        <v>Maintenance and Repair Workers, General</v>
      </c>
      <c r="AQ206" t="str">
        <f>"49-9071.00"</f>
        <v>49-9071.00</v>
      </c>
      <c r="AR206" t="str">
        <f>"Maintenance and Repair Workers, General"</f>
        <v>Maintenance and Repair Workers, General</v>
      </c>
      <c r="AS206" t="str">
        <f>"n/a"</f>
        <v>n/a</v>
      </c>
      <c r="AT206" t="s">
        <v>79</v>
      </c>
      <c r="AU206" t="str">
        <f>""</f>
        <v/>
      </c>
      <c r="AV206" t="str">
        <f>""</f>
        <v/>
      </c>
      <c r="AW206" t="s">
        <v>79</v>
      </c>
      <c r="AX206" t="str">
        <f>""</f>
        <v/>
      </c>
      <c r="AY206" t="s">
        <v>84</v>
      </c>
      <c r="BA206" t="s">
        <v>119</v>
      </c>
      <c r="BB206" t="s">
        <v>79</v>
      </c>
      <c r="BD206" t="s">
        <v>79</v>
      </c>
      <c r="BG206" t="s">
        <v>82</v>
      </c>
      <c r="BH206">
        <v>12</v>
      </c>
      <c r="BI206" t="s">
        <v>251</v>
      </c>
      <c r="BJ206" t="s">
        <v>1266</v>
      </c>
      <c r="BK206" t="str">
        <f>"Dandan, San Vicente Village"</f>
        <v>Dandan, San Vicente Village</v>
      </c>
      <c r="BL206" t="str">
        <f>""</f>
        <v/>
      </c>
      <c r="BM206" t="str">
        <f>"Saipan"</f>
        <v>Saipan</v>
      </c>
      <c r="BO206" t="s">
        <v>83</v>
      </c>
      <c r="BP206" s="4" t="str">
        <f t="shared" si="119"/>
        <v>96950</v>
      </c>
      <c r="BQ206" t="s">
        <v>79</v>
      </c>
      <c r="BR206" t="str">
        <f>"49-9071.00"</f>
        <v>49-9071.00</v>
      </c>
      <c r="BS206" t="s">
        <v>146</v>
      </c>
      <c r="BT206" s="3">
        <v>9.19</v>
      </c>
      <c r="BU206" t="s">
        <v>80</v>
      </c>
      <c r="BV206" t="s">
        <v>90</v>
      </c>
      <c r="BW206" t="s">
        <v>92</v>
      </c>
      <c r="BZ206" s="1">
        <v>45107</v>
      </c>
    </row>
    <row r="207" spans="1:78" ht="15" customHeight="1" x14ac:dyDescent="0.25">
      <c r="A207" t="s">
        <v>1267</v>
      </c>
      <c r="B207" t="s">
        <v>94</v>
      </c>
      <c r="C207" s="1">
        <v>44859</v>
      </c>
      <c r="D207" s="1">
        <v>44900</v>
      </c>
      <c r="H207" t="s">
        <v>78</v>
      </c>
      <c r="I207" t="str">
        <f>"Urbano"</f>
        <v>Urbano</v>
      </c>
      <c r="J207" t="str">
        <f>"Jocelyn"</f>
        <v>Jocelyn</v>
      </c>
      <c r="K207" t="str">
        <f>""</f>
        <v/>
      </c>
      <c r="L207" t="str">
        <f>"Corporate Secretary"</f>
        <v>Corporate Secretary</v>
      </c>
      <c r="M207" t="str">
        <f>"Room 206 Mac Building Chalan Kiya"</f>
        <v>Room 206 Mac Building Chalan Kiya</v>
      </c>
      <c r="N207" t="str">
        <f>"P.O. Box 500947"</f>
        <v>P.O. Box 500947</v>
      </c>
      <c r="O207" t="str">
        <f>"Saipan"</f>
        <v>Saipan</v>
      </c>
      <c r="P207" t="str">
        <f t="shared" si="147"/>
        <v>MP</v>
      </c>
      <c r="Q207" s="4" t="str">
        <f t="shared" si="148"/>
        <v>96950</v>
      </c>
      <c r="R207" t="str">
        <f t="shared" si="132"/>
        <v>UNITED STATES OF AMERICA</v>
      </c>
      <c r="S207" t="str">
        <f>""</f>
        <v/>
      </c>
      <c r="T207" s="5" t="str">
        <f>"16702870657"</f>
        <v>16702870657</v>
      </c>
      <c r="U207" t="str">
        <f>""</f>
        <v/>
      </c>
      <c r="V207" s="5" t="str">
        <f>""</f>
        <v/>
      </c>
      <c r="W207" t="str">
        <f>"admin@mtosaipan.com"</f>
        <v>admin@mtosaipan.com</v>
      </c>
      <c r="X207" t="str">
        <f>"MTO  MAINTENANCE SAIPAN INC"</f>
        <v>MTO  MAINTENANCE SAIPAN INC</v>
      </c>
      <c r="Y207" t="str">
        <f>""</f>
        <v/>
      </c>
      <c r="Z207" t="str">
        <f>"Room 206 MAC Building Chalan Kiya"</f>
        <v>Room 206 MAC Building Chalan Kiya</v>
      </c>
      <c r="AA207" t="str">
        <f>"P.O. Box 500947"</f>
        <v>P.O. Box 500947</v>
      </c>
      <c r="AB207" t="str">
        <f>"SAIPAN"</f>
        <v>SAIPAN</v>
      </c>
      <c r="AC207" t="str">
        <f t="shared" si="141"/>
        <v>MP</v>
      </c>
      <c r="AD207" t="str">
        <f t="shared" si="149"/>
        <v>96950</v>
      </c>
      <c r="AE207" t="str">
        <f t="shared" si="142"/>
        <v>UNITED STATES OF AMERICA</v>
      </c>
      <c r="AF207" t="str">
        <f>""</f>
        <v/>
      </c>
      <c r="AG207" s="4" t="str">
        <f>"16702870657"</f>
        <v>16702870657</v>
      </c>
      <c r="AH207" t="str">
        <f>""</f>
        <v/>
      </c>
      <c r="AI207" t="str">
        <f>"561720"</f>
        <v>561720</v>
      </c>
      <c r="AJ207" t="s">
        <v>79</v>
      </c>
      <c r="AK207" t="s">
        <v>79</v>
      </c>
      <c r="AL207" t="s">
        <v>80</v>
      </c>
      <c r="AM207" t="s">
        <v>79</v>
      </c>
      <c r="AP207" t="str">
        <f>"Accountant"</f>
        <v>Accountant</v>
      </c>
      <c r="AQ207" t="str">
        <f>"13-2011.00"</f>
        <v>13-2011.00</v>
      </c>
      <c r="AR207" t="str">
        <f>"Accountants and Auditors"</f>
        <v>Accountants and Auditors</v>
      </c>
      <c r="AS207" t="str">
        <f>"Manager"</f>
        <v>Manager</v>
      </c>
      <c r="AT207" t="s">
        <v>79</v>
      </c>
      <c r="AU207" t="str">
        <f>""</f>
        <v/>
      </c>
      <c r="AV207" t="str">
        <f>""</f>
        <v/>
      </c>
      <c r="AW207" t="s">
        <v>79</v>
      </c>
      <c r="AX207" t="str">
        <f>""</f>
        <v/>
      </c>
      <c r="AY207" t="s">
        <v>95</v>
      </c>
      <c r="BA207" t="s">
        <v>1268</v>
      </c>
      <c r="BB207" t="s">
        <v>79</v>
      </c>
      <c r="BD207" t="s">
        <v>79</v>
      </c>
      <c r="BG207" t="s">
        <v>82</v>
      </c>
      <c r="BH207">
        <v>24</v>
      </c>
      <c r="BI207" t="s">
        <v>1269</v>
      </c>
      <c r="BJ207" t="s">
        <v>1270</v>
      </c>
      <c r="BK207" t="str">
        <f>"Room 206 MAC Bldg Chalan Kiya "</f>
        <v xml:space="preserve">Room 206 MAC Bldg Chalan Kiya </v>
      </c>
      <c r="BL207" t="str">
        <f>""</f>
        <v/>
      </c>
      <c r="BM207" t="str">
        <f>"Saipan"</f>
        <v>Saipan</v>
      </c>
      <c r="BO207" t="s">
        <v>83</v>
      </c>
      <c r="BP207" s="4" t="str">
        <f t="shared" si="119"/>
        <v>96950</v>
      </c>
      <c r="BQ207" t="s">
        <v>82</v>
      </c>
      <c r="BR207" t="str">
        <f>"13-2011.00"</f>
        <v>13-2011.00</v>
      </c>
      <c r="BS207" t="s">
        <v>133</v>
      </c>
      <c r="BT207" s="3">
        <v>16.190000000000001</v>
      </c>
      <c r="BU207" t="s">
        <v>80</v>
      </c>
      <c r="BV207" t="s">
        <v>90</v>
      </c>
      <c r="BW207" t="s">
        <v>92</v>
      </c>
      <c r="BZ207" s="1">
        <v>45107</v>
      </c>
    </row>
    <row r="208" spans="1:78" ht="15" customHeight="1" x14ac:dyDescent="0.25">
      <c r="A208" t="s">
        <v>1271</v>
      </c>
      <c r="B208" t="s">
        <v>94</v>
      </c>
      <c r="C208" s="1">
        <v>44859</v>
      </c>
      <c r="D208" s="1">
        <v>44900</v>
      </c>
      <c r="H208" t="s">
        <v>78</v>
      </c>
      <c r="I208" t="str">
        <f>"URBANO"</f>
        <v>URBANO</v>
      </c>
      <c r="J208" t="str">
        <f>"JOCELYN"</f>
        <v>JOCELYN</v>
      </c>
      <c r="K208" t="str">
        <f>""</f>
        <v/>
      </c>
      <c r="L208" t="str">
        <f>"CORPORATE SECRETARY"</f>
        <v>CORPORATE SECRETARY</v>
      </c>
      <c r="M208" t="str">
        <f>"Room 206 MAC Bldg Chalan Kiya"</f>
        <v>Room 206 MAC Bldg Chalan Kiya</v>
      </c>
      <c r="N208" t="str">
        <f>"P.O. Box 500947"</f>
        <v>P.O. Box 500947</v>
      </c>
      <c r="O208" t="str">
        <f>"Saipan"</f>
        <v>Saipan</v>
      </c>
      <c r="P208" t="str">
        <f t="shared" si="147"/>
        <v>MP</v>
      </c>
      <c r="Q208" s="4" t="str">
        <f t="shared" si="148"/>
        <v>96950</v>
      </c>
      <c r="R208" t="str">
        <f t="shared" si="132"/>
        <v>UNITED STATES OF AMERICA</v>
      </c>
      <c r="S208" t="str">
        <f>""</f>
        <v/>
      </c>
      <c r="T208" s="5" t="str">
        <f>"16702870657"</f>
        <v>16702870657</v>
      </c>
      <c r="U208" t="str">
        <f>""</f>
        <v/>
      </c>
      <c r="V208" s="5" t="str">
        <f>""</f>
        <v/>
      </c>
      <c r="W208" t="str">
        <f>"admin@mtosaipan.com"</f>
        <v>admin@mtosaipan.com</v>
      </c>
      <c r="X208" t="str">
        <f>"MTO  MAINTENANCE SAIPAN INC"</f>
        <v>MTO  MAINTENANCE SAIPAN INC</v>
      </c>
      <c r="Y208" t="str">
        <f>""</f>
        <v/>
      </c>
      <c r="Z208" t="str">
        <f>"Room 206 MAC Bldg Chalan Kiya"</f>
        <v>Room 206 MAC Bldg Chalan Kiya</v>
      </c>
      <c r="AA208" t="str">
        <f>""</f>
        <v/>
      </c>
      <c r="AB208" t="str">
        <f>"SAIPAN"</f>
        <v>SAIPAN</v>
      </c>
      <c r="AC208" t="str">
        <f t="shared" si="141"/>
        <v>MP</v>
      </c>
      <c r="AD208" t="str">
        <f t="shared" si="149"/>
        <v>96950</v>
      </c>
      <c r="AE208" t="str">
        <f t="shared" si="142"/>
        <v>UNITED STATES OF AMERICA</v>
      </c>
      <c r="AF208" t="str">
        <f>""</f>
        <v/>
      </c>
      <c r="AG208" s="4" t="str">
        <f>"16702870657"</f>
        <v>16702870657</v>
      </c>
      <c r="AH208" t="str">
        <f>""</f>
        <v/>
      </c>
      <c r="AI208" t="str">
        <f>"561720"</f>
        <v>561720</v>
      </c>
      <c r="AJ208" t="s">
        <v>79</v>
      </c>
      <c r="AK208" t="s">
        <v>79</v>
      </c>
      <c r="AL208" t="s">
        <v>80</v>
      </c>
      <c r="AM208" t="s">
        <v>79</v>
      </c>
      <c r="AP208" t="str">
        <f>"Operation Service Worker"</f>
        <v>Operation Service Worker</v>
      </c>
      <c r="AQ208" t="str">
        <f>"37-2012.00"</f>
        <v>37-2012.00</v>
      </c>
      <c r="AR208" t="str">
        <f>"Maids and Housekeeping Cleaners"</f>
        <v>Maids and Housekeeping Cleaners</v>
      </c>
      <c r="AS208" t="str">
        <f>"Manager"</f>
        <v>Manager</v>
      </c>
      <c r="AT208" t="s">
        <v>79</v>
      </c>
      <c r="AU208" t="str">
        <f>""</f>
        <v/>
      </c>
      <c r="AV208" t="str">
        <f>""</f>
        <v/>
      </c>
      <c r="AW208" t="s">
        <v>79</v>
      </c>
      <c r="AX208" t="str">
        <f>""</f>
        <v/>
      </c>
      <c r="AY208" t="s">
        <v>81</v>
      </c>
      <c r="BA208" t="s">
        <v>80</v>
      </c>
      <c r="BB208" t="s">
        <v>79</v>
      </c>
      <c r="BD208" t="s">
        <v>79</v>
      </c>
      <c r="BG208" t="s">
        <v>82</v>
      </c>
      <c r="BH208">
        <v>3</v>
      </c>
      <c r="BI208" t="s">
        <v>1272</v>
      </c>
      <c r="BJ208" t="s">
        <v>1273</v>
      </c>
      <c r="BK208" t="str">
        <f>"Room 206 MAC Bldg Chalan Kiya"</f>
        <v>Room 206 MAC Bldg Chalan Kiya</v>
      </c>
      <c r="BL208" t="str">
        <f>""</f>
        <v/>
      </c>
      <c r="BM208" t="str">
        <f>"Saipan"</f>
        <v>Saipan</v>
      </c>
      <c r="BO208" t="s">
        <v>83</v>
      </c>
      <c r="BP208" s="4" t="str">
        <f t="shared" si="119"/>
        <v>96950</v>
      </c>
      <c r="BQ208" t="s">
        <v>82</v>
      </c>
      <c r="BR208" t="str">
        <f>"37-2012.00"</f>
        <v>37-2012.00</v>
      </c>
      <c r="BS208" t="s">
        <v>109</v>
      </c>
      <c r="BT208" s="3">
        <v>7.56</v>
      </c>
      <c r="BU208" t="s">
        <v>80</v>
      </c>
      <c r="BV208" t="s">
        <v>90</v>
      </c>
      <c r="BW208" t="s">
        <v>92</v>
      </c>
      <c r="BZ208" s="1">
        <v>45107</v>
      </c>
    </row>
    <row r="209" spans="1:78" ht="15" customHeight="1" x14ac:dyDescent="0.25">
      <c r="A209" t="s">
        <v>1278</v>
      </c>
      <c r="B209" t="s">
        <v>94</v>
      </c>
      <c r="C209" s="1">
        <v>44859</v>
      </c>
      <c r="D209" s="1">
        <v>44900</v>
      </c>
      <c r="H209" t="s">
        <v>78</v>
      </c>
      <c r="I209" t="str">
        <f>"DELOS SANTOS"</f>
        <v>DELOS SANTOS</v>
      </c>
      <c r="J209" t="str">
        <f>"NENITA"</f>
        <v>NENITA</v>
      </c>
      <c r="K209" t="str">
        <f>"VELASQUEZ"</f>
        <v>VELASQUEZ</v>
      </c>
      <c r="L209" t="str">
        <f>"GENERAL MANAGER"</f>
        <v>GENERAL MANAGER</v>
      </c>
      <c r="M209" t="str">
        <f>"MARIANAS INSURANCE BUILDING SAN JOSE"</f>
        <v>MARIANAS INSURANCE BUILDING SAN JOSE</v>
      </c>
      <c r="N209" t="str">
        <f>"PO BOX 504330"</f>
        <v>PO BOX 504330</v>
      </c>
      <c r="O209" t="str">
        <f>"SAIPAN"</f>
        <v>SAIPAN</v>
      </c>
      <c r="P209" t="str">
        <f t="shared" si="147"/>
        <v>MP</v>
      </c>
      <c r="Q209" s="4" t="str">
        <f t="shared" si="148"/>
        <v>96950</v>
      </c>
      <c r="R209" t="str">
        <f t="shared" si="132"/>
        <v>UNITED STATES OF AMERICA</v>
      </c>
      <c r="S209" t="str">
        <f>"N/A"</f>
        <v>N/A</v>
      </c>
      <c r="T209" s="5" t="str">
        <f>"16702355009"</f>
        <v>16702355009</v>
      </c>
      <c r="U209" t="str">
        <f>""</f>
        <v/>
      </c>
      <c r="V209" s="5" t="str">
        <f>""</f>
        <v/>
      </c>
      <c r="W209" t="str">
        <f>"prophetmanpower2017@gmail.com"</f>
        <v>prophetmanpower2017@gmail.com</v>
      </c>
      <c r="X209" t="str">
        <f>"PROPHET MANPOWER SERVICES"</f>
        <v>PROPHET MANPOWER SERVICES</v>
      </c>
      <c r="Y209" t="str">
        <f>""</f>
        <v/>
      </c>
      <c r="Z209" t="str">
        <f>"MARIANAS INSURANCE BLDG"</f>
        <v>MARIANAS INSURANCE BLDG</v>
      </c>
      <c r="AA209" t="str">
        <f>"PO BOX 504330"</f>
        <v>PO BOX 504330</v>
      </c>
      <c r="AB209" t="str">
        <f>"SAIPAN"</f>
        <v>SAIPAN</v>
      </c>
      <c r="AC209" t="str">
        <f t="shared" si="141"/>
        <v>MP</v>
      </c>
      <c r="AD209" t="str">
        <f t="shared" si="149"/>
        <v>96950</v>
      </c>
      <c r="AE209" t="str">
        <f t="shared" si="142"/>
        <v>UNITED STATES OF AMERICA</v>
      </c>
      <c r="AF209" t="str">
        <f>"N/A"</f>
        <v>N/A</v>
      </c>
      <c r="AG209" s="4" t="str">
        <f>"16702355009"</f>
        <v>16702355009</v>
      </c>
      <c r="AH209" t="str">
        <f>""</f>
        <v/>
      </c>
      <c r="AI209" t="str">
        <f>"56131"</f>
        <v>56131</v>
      </c>
      <c r="AJ209" t="s">
        <v>79</v>
      </c>
      <c r="AK209" t="s">
        <v>79</v>
      </c>
      <c r="AL209" t="s">
        <v>80</v>
      </c>
      <c r="AM209" t="s">
        <v>79</v>
      </c>
      <c r="AP209" t="str">
        <f>"MAIDS AND HOUSEKEEPING CLEANERS"</f>
        <v>MAIDS AND HOUSEKEEPING CLEANERS</v>
      </c>
      <c r="AQ209" t="str">
        <f>"37-2012.00"</f>
        <v>37-2012.00</v>
      </c>
      <c r="AR209" t="str">
        <f>"Maids and Housekeeping Cleaners"</f>
        <v>Maids and Housekeeping Cleaners</v>
      </c>
      <c r="AS209" t="str">
        <f>"HOUSEKEEPING SUPERVISOR"</f>
        <v>HOUSEKEEPING SUPERVISOR</v>
      </c>
      <c r="AT209" t="s">
        <v>79</v>
      </c>
      <c r="AU209" t="str">
        <f>""</f>
        <v/>
      </c>
      <c r="AV209" t="str">
        <f>""</f>
        <v/>
      </c>
      <c r="AW209" t="s">
        <v>79</v>
      </c>
      <c r="AX209" t="str">
        <f>""</f>
        <v/>
      </c>
      <c r="AY209" t="s">
        <v>84</v>
      </c>
      <c r="BA209" t="s">
        <v>119</v>
      </c>
      <c r="BB209" t="s">
        <v>79</v>
      </c>
      <c r="BD209" t="s">
        <v>79</v>
      </c>
      <c r="BG209" t="s">
        <v>82</v>
      </c>
      <c r="BH209">
        <v>3</v>
      </c>
      <c r="BI209" t="s">
        <v>1279</v>
      </c>
      <c r="BJ209" t="s">
        <v>1280</v>
      </c>
      <c r="BK209" t="str">
        <f>"MARIANAS INSURANCE BUILDING SAN JOSE"</f>
        <v>MARIANAS INSURANCE BUILDING SAN JOSE</v>
      </c>
      <c r="BL209" t="str">
        <f>"PO BOX 504330"</f>
        <v>PO BOX 504330</v>
      </c>
      <c r="BM209" t="str">
        <f>"SAIPAN"</f>
        <v>SAIPAN</v>
      </c>
      <c r="BO209" t="s">
        <v>83</v>
      </c>
      <c r="BP209" s="4" t="str">
        <f t="shared" si="119"/>
        <v>96950</v>
      </c>
      <c r="BQ209" t="s">
        <v>79</v>
      </c>
      <c r="BR209" t="str">
        <f>"37-2012.00"</f>
        <v>37-2012.00</v>
      </c>
      <c r="BS209" t="s">
        <v>109</v>
      </c>
      <c r="BT209" s="3">
        <v>7.56</v>
      </c>
      <c r="BU209" t="s">
        <v>80</v>
      </c>
      <c r="BV209" t="s">
        <v>90</v>
      </c>
      <c r="BW209" t="s">
        <v>92</v>
      </c>
      <c r="BZ209" s="1">
        <v>45107</v>
      </c>
    </row>
    <row r="210" spans="1:78" ht="15" customHeight="1" x14ac:dyDescent="0.25">
      <c r="A210" t="s">
        <v>1170</v>
      </c>
      <c r="B210" t="s">
        <v>94</v>
      </c>
      <c r="C210" s="1">
        <v>44857</v>
      </c>
      <c r="D210" s="1">
        <v>44900</v>
      </c>
      <c r="H210" t="s">
        <v>78</v>
      </c>
      <c r="I210" t="str">
        <f>"FARINAS"</f>
        <v>FARINAS</v>
      </c>
      <c r="J210" t="str">
        <f>"JEREMIAS JR."</f>
        <v>JEREMIAS JR.</v>
      </c>
      <c r="K210" t="str">
        <f>"CORPUZ"</f>
        <v>CORPUZ</v>
      </c>
      <c r="L210" t="str">
        <f>"PRESIDENT"</f>
        <v>PRESIDENT</v>
      </c>
      <c r="M210" t="str">
        <f>"P.O. BOX 502072, CRISPINA ST"</f>
        <v>P.O. BOX 502072, CRISPINA ST</v>
      </c>
      <c r="N210" t="str">
        <f>"CHALAN KANOA"</f>
        <v>CHALAN KANOA</v>
      </c>
      <c r="O210" t="str">
        <f>"SAIPAN"</f>
        <v>SAIPAN</v>
      </c>
      <c r="P210" t="str">
        <f t="shared" si="147"/>
        <v>MP</v>
      </c>
      <c r="Q210" s="4" t="str">
        <f t="shared" si="148"/>
        <v>96950</v>
      </c>
      <c r="R210" t="str">
        <f t="shared" si="132"/>
        <v>UNITED STATES OF AMERICA</v>
      </c>
      <c r="S210" t="str">
        <f>"MP"</f>
        <v>MP</v>
      </c>
      <c r="T210" s="5" t="str">
        <f>"16702351096"</f>
        <v>16702351096</v>
      </c>
      <c r="U210" t="str">
        <f>""</f>
        <v/>
      </c>
      <c r="V210" s="5" t="str">
        <f>""</f>
        <v/>
      </c>
      <c r="W210" t="str">
        <f>"jfarg2015@gmail.com"</f>
        <v>jfarg2015@gmail.com</v>
      </c>
      <c r="X210" t="str">
        <f>"JFAR CORPORATION"</f>
        <v>JFAR CORPORATION</v>
      </c>
      <c r="Y210" t="str">
        <f>"STAR G ENTERPRISES"</f>
        <v>STAR G ENTERPRISES</v>
      </c>
      <c r="Z210" t="str">
        <f>"P.O. BOX 502072, CRISPINA ST"</f>
        <v>P.O. BOX 502072, CRISPINA ST</v>
      </c>
      <c r="AA210" t="str">
        <f>"CHALAN KANOA"</f>
        <v>CHALAN KANOA</v>
      </c>
      <c r="AB210" t="str">
        <f>"SAIPAN"</f>
        <v>SAIPAN</v>
      </c>
      <c r="AC210" t="str">
        <f t="shared" si="141"/>
        <v>MP</v>
      </c>
      <c r="AD210" t="str">
        <f t="shared" si="149"/>
        <v>96950</v>
      </c>
      <c r="AE210" t="str">
        <f t="shared" si="142"/>
        <v>UNITED STATES OF AMERICA</v>
      </c>
      <c r="AF210" t="str">
        <f>"MP"</f>
        <v>MP</v>
      </c>
      <c r="AG210" s="4" t="str">
        <f>"16702351096"</f>
        <v>16702351096</v>
      </c>
      <c r="AH210" t="str">
        <f>""</f>
        <v/>
      </c>
      <c r="AI210" t="str">
        <f>"722515"</f>
        <v>722515</v>
      </c>
      <c r="AJ210" t="s">
        <v>79</v>
      </c>
      <c r="AK210" t="s">
        <v>79</v>
      </c>
      <c r="AL210" t="s">
        <v>80</v>
      </c>
      <c r="AM210" t="s">
        <v>79</v>
      </c>
      <c r="AP210" t="str">
        <f>"BAKER"</f>
        <v>BAKER</v>
      </c>
      <c r="AQ210" t="str">
        <f>"51-3011.00"</f>
        <v>51-3011.00</v>
      </c>
      <c r="AR210" t="str">
        <f>"Bakers"</f>
        <v>Bakers</v>
      </c>
      <c r="AS210" t="str">
        <f>"MANAGER"</f>
        <v>MANAGER</v>
      </c>
      <c r="AT210" t="s">
        <v>79</v>
      </c>
      <c r="AU210" t="str">
        <f>""</f>
        <v/>
      </c>
      <c r="AV210" t="str">
        <f>""</f>
        <v/>
      </c>
      <c r="AW210" t="s">
        <v>79</v>
      </c>
      <c r="AX210" t="str">
        <f>""</f>
        <v/>
      </c>
      <c r="AY210" t="s">
        <v>84</v>
      </c>
      <c r="BA210" t="s">
        <v>80</v>
      </c>
      <c r="BB210" t="s">
        <v>79</v>
      </c>
      <c r="BD210" t="s">
        <v>79</v>
      </c>
      <c r="BG210" t="s">
        <v>82</v>
      </c>
      <c r="BH210">
        <v>12</v>
      </c>
      <c r="BI210" t="s">
        <v>443</v>
      </c>
      <c r="BJ210" t="s">
        <v>1171</v>
      </c>
      <c r="BK210" t="str">
        <f>"CRISPINA ST"</f>
        <v>CRISPINA ST</v>
      </c>
      <c r="BL210" t="str">
        <f>"CHALAN KANOA"</f>
        <v>CHALAN KANOA</v>
      </c>
      <c r="BM210" t="str">
        <f>"SAIPAN"</f>
        <v>SAIPAN</v>
      </c>
      <c r="BO210" t="s">
        <v>83</v>
      </c>
      <c r="BP210" s="4" t="str">
        <f t="shared" si="119"/>
        <v>96950</v>
      </c>
      <c r="BQ210" t="s">
        <v>79</v>
      </c>
      <c r="BR210" t="str">
        <f>"51-3011.00"</f>
        <v>51-3011.00</v>
      </c>
      <c r="BS210" t="s">
        <v>331</v>
      </c>
      <c r="BT210" s="3">
        <v>8.19</v>
      </c>
      <c r="BU210" t="s">
        <v>80</v>
      </c>
      <c r="BV210" t="s">
        <v>90</v>
      </c>
      <c r="BW210" t="s">
        <v>92</v>
      </c>
      <c r="BZ210" s="1">
        <v>45107</v>
      </c>
    </row>
    <row r="211" spans="1:78" ht="15" customHeight="1" x14ac:dyDescent="0.25">
      <c r="A211" t="s">
        <v>1172</v>
      </c>
      <c r="B211" t="s">
        <v>94</v>
      </c>
      <c r="C211" s="1">
        <v>44857</v>
      </c>
      <c r="D211" s="1">
        <v>44900</v>
      </c>
      <c r="H211" t="s">
        <v>78</v>
      </c>
      <c r="I211" t="str">
        <f>"BISCOCHO"</f>
        <v>BISCOCHO</v>
      </c>
      <c r="J211" t="str">
        <f>"DENNIS "</f>
        <v xml:space="preserve">DENNIS </v>
      </c>
      <c r="K211" t="str">
        <f>"ALCANTARA "</f>
        <v xml:space="preserve">ALCANTARA </v>
      </c>
      <c r="L211" t="str">
        <f>"PRESIDENT"</f>
        <v>PRESIDENT</v>
      </c>
      <c r="M211" t="str">
        <f>"P.O BOX 500728"</f>
        <v>P.O BOX 500728</v>
      </c>
      <c r="N211" t="str">
        <f>"SUITE #203, SAIPAN PLAZA BLDG, GUALO RAI "</f>
        <v xml:space="preserve">SUITE #203, SAIPAN PLAZA BLDG, GUALO RAI </v>
      </c>
      <c r="O211" t="str">
        <f>"SAIPAN "</f>
        <v xml:space="preserve">SAIPAN </v>
      </c>
      <c r="P211" t="str">
        <f t="shared" si="147"/>
        <v>MP</v>
      </c>
      <c r="Q211" s="4" t="str">
        <f t="shared" si="148"/>
        <v>96950</v>
      </c>
      <c r="R211" t="str">
        <f t="shared" si="132"/>
        <v>UNITED STATES OF AMERICA</v>
      </c>
      <c r="S211" t="str">
        <f>""</f>
        <v/>
      </c>
      <c r="T211" s="5" t="str">
        <f>"16704843028"</f>
        <v>16704843028</v>
      </c>
      <c r="U211" t="str">
        <f>""</f>
        <v/>
      </c>
      <c r="V211" s="5" t="str">
        <f>""</f>
        <v/>
      </c>
      <c r="W211" t="str">
        <f>"firstalarm.670@hotmail.com"</f>
        <v>firstalarm.670@hotmail.com</v>
      </c>
      <c r="X211" t="str">
        <f>"FIRST ALARM COMPANY "</f>
        <v xml:space="preserve">FIRST ALARM COMPANY </v>
      </c>
      <c r="Y211" t="str">
        <f>""</f>
        <v/>
      </c>
      <c r="Z211" t="str">
        <f>"P.O BOX 500728"</f>
        <v>P.O BOX 500728</v>
      </c>
      <c r="AA211" t="str">
        <f>"SUITE #203, SAIPAN PLAZA BLDG, GUALO RAI "</f>
        <v xml:space="preserve">SUITE #203, SAIPAN PLAZA BLDG, GUALO RAI </v>
      </c>
      <c r="AB211" t="str">
        <f>"SAIPAN "</f>
        <v xml:space="preserve">SAIPAN </v>
      </c>
      <c r="AC211" t="str">
        <f t="shared" si="141"/>
        <v>MP</v>
      </c>
      <c r="AD211" t="str">
        <f t="shared" si="149"/>
        <v>96950</v>
      </c>
      <c r="AE211" t="str">
        <f t="shared" si="142"/>
        <v>UNITED STATES OF AMERICA</v>
      </c>
      <c r="AF211" t="str">
        <f>""</f>
        <v/>
      </c>
      <c r="AG211" s="4" t="str">
        <f>"16704843028"</f>
        <v>16704843028</v>
      </c>
      <c r="AH211" t="str">
        <f>""</f>
        <v/>
      </c>
      <c r="AI211" t="str">
        <f>"42361"</f>
        <v>42361</v>
      </c>
      <c r="AJ211" t="s">
        <v>79</v>
      </c>
      <c r="AK211" t="s">
        <v>79</v>
      </c>
      <c r="AL211" t="s">
        <v>80</v>
      </c>
      <c r="AM211" t="s">
        <v>79</v>
      </c>
      <c r="AP211" t="str">
        <f>"MAINTENANCE AND REPAIR WORKERS, GENERAL "</f>
        <v xml:space="preserve">MAINTENANCE AND REPAIR WORKERS, GENERAL </v>
      </c>
      <c r="AQ211" t="str">
        <f>"49-9071.00"</f>
        <v>49-9071.00</v>
      </c>
      <c r="AR211" t="str">
        <f>"Maintenance and Repair Workers, General"</f>
        <v>Maintenance and Repair Workers, General</v>
      </c>
      <c r="AS211" t="str">
        <f>"GENERAL MANAGER "</f>
        <v xml:space="preserve">GENERAL MANAGER </v>
      </c>
      <c r="AT211" t="s">
        <v>79</v>
      </c>
      <c r="AU211" t="str">
        <f>""</f>
        <v/>
      </c>
      <c r="AV211" t="str">
        <f>""</f>
        <v/>
      </c>
      <c r="AW211" t="s">
        <v>79</v>
      </c>
      <c r="AX211" t="str">
        <f>""</f>
        <v/>
      </c>
      <c r="AY211" t="s">
        <v>84</v>
      </c>
      <c r="BA211" t="s">
        <v>80</v>
      </c>
      <c r="BB211" t="s">
        <v>79</v>
      </c>
      <c r="BD211" t="s">
        <v>79</v>
      </c>
      <c r="BG211" t="s">
        <v>82</v>
      </c>
      <c r="BH211">
        <v>12</v>
      </c>
      <c r="BI211" t="s">
        <v>1173</v>
      </c>
      <c r="BJ211" s="2" t="s">
        <v>1174</v>
      </c>
      <c r="BK211" t="str">
        <f>"P.O BOX 500728"</f>
        <v>P.O BOX 500728</v>
      </c>
      <c r="BL211" t="str">
        <f>"SUITE #203, SAIPAN PLAZA BLDG, GUALO RAI "</f>
        <v xml:space="preserve">SUITE #203, SAIPAN PLAZA BLDG, GUALO RAI </v>
      </c>
      <c r="BM211" t="str">
        <f>"SAIPAN "</f>
        <v xml:space="preserve">SAIPAN </v>
      </c>
      <c r="BO211" t="s">
        <v>83</v>
      </c>
      <c r="BP211" s="4" t="str">
        <f t="shared" si="119"/>
        <v>96950</v>
      </c>
      <c r="BQ211" t="s">
        <v>79</v>
      </c>
      <c r="BR211" t="str">
        <f>"49-9071.00"</f>
        <v>49-9071.00</v>
      </c>
      <c r="BS211" t="s">
        <v>146</v>
      </c>
      <c r="BT211" s="3">
        <v>9.19</v>
      </c>
      <c r="BU211" t="s">
        <v>80</v>
      </c>
      <c r="BV211" t="s">
        <v>90</v>
      </c>
      <c r="BW211" t="s">
        <v>92</v>
      </c>
      <c r="BZ211" s="1">
        <v>45107</v>
      </c>
    </row>
    <row r="212" spans="1:78" ht="15" customHeight="1" x14ac:dyDescent="0.25">
      <c r="A212" t="s">
        <v>1175</v>
      </c>
      <c r="B212" t="s">
        <v>94</v>
      </c>
      <c r="C212" s="1">
        <v>44857</v>
      </c>
      <c r="D212" s="1">
        <v>44900</v>
      </c>
      <c r="H212" t="s">
        <v>78</v>
      </c>
      <c r="I212" t="str">
        <f>"BISCOCHO "</f>
        <v xml:space="preserve">BISCOCHO </v>
      </c>
      <c r="J212" t="str">
        <f>"DENNIS "</f>
        <v xml:space="preserve">DENNIS </v>
      </c>
      <c r="K212" t="str">
        <f>"ALCANTARA "</f>
        <v xml:space="preserve">ALCANTARA </v>
      </c>
      <c r="L212" t="str">
        <f>"PRESIDENT "</f>
        <v xml:space="preserve">PRESIDENT </v>
      </c>
      <c r="M212" t="str">
        <f>"P.O BOX 500728"</f>
        <v>P.O BOX 500728</v>
      </c>
      <c r="N212" t="str">
        <f>"SUITE #203, SAIPAN PLAZA BLDG, GUALO RAI "</f>
        <v xml:space="preserve">SUITE #203, SAIPAN PLAZA BLDG, GUALO RAI </v>
      </c>
      <c r="O212" t="str">
        <f>"SAIPAN "</f>
        <v xml:space="preserve">SAIPAN </v>
      </c>
      <c r="P212" t="str">
        <f t="shared" si="147"/>
        <v>MP</v>
      </c>
      <c r="Q212" s="4" t="str">
        <f t="shared" si="148"/>
        <v>96950</v>
      </c>
      <c r="R212" t="str">
        <f t="shared" si="132"/>
        <v>UNITED STATES OF AMERICA</v>
      </c>
      <c r="S212" t="str">
        <f>""</f>
        <v/>
      </c>
      <c r="T212" s="5" t="str">
        <f>"16704843028"</f>
        <v>16704843028</v>
      </c>
      <c r="U212" t="str">
        <f>""</f>
        <v/>
      </c>
      <c r="V212" s="5" t="str">
        <f>""</f>
        <v/>
      </c>
      <c r="W212" t="str">
        <f>"firstalarm.670@hotmail.com"</f>
        <v>firstalarm.670@hotmail.com</v>
      </c>
      <c r="X212" t="str">
        <f>"FIRST ALARM COMPANY "</f>
        <v xml:space="preserve">FIRST ALARM COMPANY </v>
      </c>
      <c r="Y212" t="str">
        <f>""</f>
        <v/>
      </c>
      <c r="Z212" t="str">
        <f>"P.O BOX 500728"</f>
        <v>P.O BOX 500728</v>
      </c>
      <c r="AA212" t="str">
        <f>"SUITE #203, SAIPAN PLAZA BLDG, GUALO RAI "</f>
        <v xml:space="preserve">SUITE #203, SAIPAN PLAZA BLDG, GUALO RAI </v>
      </c>
      <c r="AB212" t="str">
        <f>"SAIPAN "</f>
        <v xml:space="preserve">SAIPAN </v>
      </c>
      <c r="AC212" t="str">
        <f t="shared" si="141"/>
        <v>MP</v>
      </c>
      <c r="AD212" t="str">
        <f t="shared" si="149"/>
        <v>96950</v>
      </c>
      <c r="AE212" t="str">
        <f t="shared" si="142"/>
        <v>UNITED STATES OF AMERICA</v>
      </c>
      <c r="AF212" t="str">
        <f>""</f>
        <v/>
      </c>
      <c r="AG212" s="4" t="str">
        <f>"16704843028"</f>
        <v>16704843028</v>
      </c>
      <c r="AH212" t="str">
        <f>""</f>
        <v/>
      </c>
      <c r="AI212" t="str">
        <f>"42361"</f>
        <v>42361</v>
      </c>
      <c r="AJ212" t="s">
        <v>79</v>
      </c>
      <c r="AK212" t="s">
        <v>79</v>
      </c>
      <c r="AL212" t="s">
        <v>80</v>
      </c>
      <c r="AM212" t="s">
        <v>79</v>
      </c>
      <c r="AP212" t="str">
        <f>"COMMERCIAL CLEANER "</f>
        <v xml:space="preserve">COMMERCIAL CLEANER </v>
      </c>
      <c r="AQ212" t="str">
        <f>"37-2011.00"</f>
        <v>37-2011.00</v>
      </c>
      <c r="AR212" t="str">
        <f>"Janitors and Cleaners, Except Maids and Housekeeping Cleaners"</f>
        <v>Janitors and Cleaners, Except Maids and Housekeeping Cleaners</v>
      </c>
      <c r="AS212" t="str">
        <f>"GENERAL MANAGER "</f>
        <v xml:space="preserve">GENERAL MANAGER </v>
      </c>
      <c r="AT212" t="s">
        <v>79</v>
      </c>
      <c r="AU212" t="str">
        <f>""</f>
        <v/>
      </c>
      <c r="AV212" t="str">
        <f>""</f>
        <v/>
      </c>
      <c r="AW212" t="s">
        <v>79</v>
      </c>
      <c r="AX212" t="str">
        <f>""</f>
        <v/>
      </c>
      <c r="AY212" t="s">
        <v>84</v>
      </c>
      <c r="BA212" t="s">
        <v>80</v>
      </c>
      <c r="BB212" t="s">
        <v>79</v>
      </c>
      <c r="BD212" t="s">
        <v>79</v>
      </c>
      <c r="BG212" t="s">
        <v>82</v>
      </c>
      <c r="BH212">
        <v>6</v>
      </c>
      <c r="BI212" t="s">
        <v>1176</v>
      </c>
      <c r="BJ212" s="2" t="s">
        <v>365</v>
      </c>
      <c r="BK212" t="str">
        <f>"P.O BOX 500728"</f>
        <v>P.O BOX 500728</v>
      </c>
      <c r="BL212" t="str">
        <f>"SUITE #203, SAIPAN PLAZA BLDG, GUALO RAI "</f>
        <v xml:space="preserve">SUITE #203, SAIPAN PLAZA BLDG, GUALO RAI </v>
      </c>
      <c r="BM212" t="str">
        <f>"SAIPAN "</f>
        <v xml:space="preserve">SAIPAN </v>
      </c>
      <c r="BO212" t="s">
        <v>83</v>
      </c>
      <c r="BP212" s="4" t="str">
        <f t="shared" si="119"/>
        <v>96950</v>
      </c>
      <c r="BQ212" t="s">
        <v>79</v>
      </c>
      <c r="BR212" t="str">
        <f>"37-2011.00"</f>
        <v>37-2011.00</v>
      </c>
      <c r="BS212" t="s">
        <v>313</v>
      </c>
      <c r="BT212" s="3">
        <v>7.99</v>
      </c>
      <c r="BU212" t="s">
        <v>80</v>
      </c>
      <c r="BV212" t="s">
        <v>90</v>
      </c>
      <c r="BW212" t="s">
        <v>92</v>
      </c>
      <c r="BZ212" s="1">
        <v>45107</v>
      </c>
    </row>
    <row r="213" spans="1:78" ht="15" customHeight="1" x14ac:dyDescent="0.25">
      <c r="A213" t="s">
        <v>1142</v>
      </c>
      <c r="B213" t="s">
        <v>94</v>
      </c>
      <c r="C213" s="1">
        <v>44855</v>
      </c>
      <c r="D213" s="1">
        <v>44900</v>
      </c>
      <c r="H213" t="s">
        <v>78</v>
      </c>
      <c r="I213" t="str">
        <f>"SABLAN"</f>
        <v>SABLAN</v>
      </c>
      <c r="J213" t="str">
        <f>"PETER"</f>
        <v>PETER</v>
      </c>
      <c r="K213" t="str">
        <f>"BARCINAS"</f>
        <v>BARCINAS</v>
      </c>
      <c r="L213" t="str">
        <f>"VICE PRESIDENT"</f>
        <v>VICE PRESIDENT</v>
      </c>
      <c r="M213" t="str">
        <f>"AYD COMPOUND "</f>
        <v xml:space="preserve">AYD COMPOUND </v>
      </c>
      <c r="N213" t="str">
        <f>"SAN ANTONIO"</f>
        <v>SAN ANTONIO</v>
      </c>
      <c r="O213" t="str">
        <f t="shared" ref="O213:O218" si="150">"SAIPAN"</f>
        <v>SAIPAN</v>
      </c>
      <c r="P213" t="str">
        <f t="shared" si="147"/>
        <v>MP</v>
      </c>
      <c r="Q213" s="4" t="str">
        <f t="shared" si="148"/>
        <v>96950</v>
      </c>
      <c r="R213" t="str">
        <f t="shared" si="132"/>
        <v>UNITED STATES OF AMERICA</v>
      </c>
      <c r="S213" t="str">
        <f>""</f>
        <v/>
      </c>
      <c r="T213" s="5" t="str">
        <f>"16702357011"</f>
        <v>16702357011</v>
      </c>
      <c r="U213" t="str">
        <f>""</f>
        <v/>
      </c>
      <c r="V213" s="5" t="str">
        <f>""</f>
        <v/>
      </c>
      <c r="W213" t="str">
        <f>"aydpenasap@gmail.com"</f>
        <v>aydpenasap@gmail.com</v>
      </c>
      <c r="X213" t="str">
        <f>"AYD SERVICES, INC."</f>
        <v>AYD SERVICES, INC.</v>
      </c>
      <c r="Y213" t="str">
        <f>"N/A"</f>
        <v>N/A</v>
      </c>
      <c r="Z213" t="str">
        <f>"AYD COMPOUND"</f>
        <v>AYD COMPOUND</v>
      </c>
      <c r="AA213" t="str">
        <f>"SAN ANTONIO"</f>
        <v>SAN ANTONIO</v>
      </c>
      <c r="AB213" t="str">
        <f t="shared" ref="AB213:AB218" si="151">"SAIPAN"</f>
        <v>SAIPAN</v>
      </c>
      <c r="AC213" t="str">
        <f t="shared" si="141"/>
        <v>MP</v>
      </c>
      <c r="AD213" t="str">
        <f t="shared" si="149"/>
        <v>96950</v>
      </c>
      <c r="AE213" t="str">
        <f t="shared" si="142"/>
        <v>UNITED STATES OF AMERICA</v>
      </c>
      <c r="AF213" t="str">
        <f>""</f>
        <v/>
      </c>
      <c r="AG213" s="4" t="str">
        <f>"16702357011"</f>
        <v>16702357011</v>
      </c>
      <c r="AH213" t="str">
        <f>""</f>
        <v/>
      </c>
      <c r="AI213" t="str">
        <f>"5613"</f>
        <v>5613</v>
      </c>
      <c r="AJ213" t="s">
        <v>79</v>
      </c>
      <c r="AK213" t="s">
        <v>79</v>
      </c>
      <c r="AL213" t="s">
        <v>80</v>
      </c>
      <c r="AM213" t="s">
        <v>79</v>
      </c>
      <c r="AP213" t="str">
        <f>"MAINTENANCE"</f>
        <v>MAINTENANCE</v>
      </c>
      <c r="AQ213" t="str">
        <f>"49-9071.00"</f>
        <v>49-9071.00</v>
      </c>
      <c r="AR213" t="str">
        <f>"Maintenance and Repair Workers, General"</f>
        <v>Maintenance and Repair Workers, General</v>
      </c>
      <c r="AS213" t="str">
        <f>"N/A"</f>
        <v>N/A</v>
      </c>
      <c r="AT213" t="s">
        <v>79</v>
      </c>
      <c r="AU213" t="str">
        <f>""</f>
        <v/>
      </c>
      <c r="AV213" t="str">
        <f>""</f>
        <v/>
      </c>
      <c r="AW213" t="s">
        <v>79</v>
      </c>
      <c r="AX213" t="str">
        <f>""</f>
        <v/>
      </c>
      <c r="AY213" t="s">
        <v>84</v>
      </c>
      <c r="BA213" t="s">
        <v>80</v>
      </c>
      <c r="BB213" t="s">
        <v>79</v>
      </c>
      <c r="BD213" t="s">
        <v>79</v>
      </c>
      <c r="BG213" t="s">
        <v>82</v>
      </c>
      <c r="BH213">
        <v>3</v>
      </c>
      <c r="BI213" t="s">
        <v>361</v>
      </c>
      <c r="BJ213" t="s">
        <v>1143</v>
      </c>
      <c r="BK213" t="str">
        <f>"AYD Compound "</f>
        <v xml:space="preserve">AYD Compound </v>
      </c>
      <c r="BL213" t="str">
        <f>"San Antonio"</f>
        <v>San Antonio</v>
      </c>
      <c r="BM213" t="str">
        <f>"Saipan"</f>
        <v>Saipan</v>
      </c>
      <c r="BO213" t="s">
        <v>83</v>
      </c>
      <c r="BP213" s="4" t="str">
        <f t="shared" si="119"/>
        <v>96950</v>
      </c>
      <c r="BQ213" t="s">
        <v>79</v>
      </c>
      <c r="BR213" t="str">
        <f>"49-9071.00"</f>
        <v>49-9071.00</v>
      </c>
      <c r="BS213" t="s">
        <v>146</v>
      </c>
      <c r="BT213" s="3">
        <v>9.19</v>
      </c>
      <c r="BU213" t="s">
        <v>80</v>
      </c>
      <c r="BV213" t="s">
        <v>90</v>
      </c>
      <c r="BW213" t="s">
        <v>92</v>
      </c>
      <c r="BZ213" s="1">
        <v>45107</v>
      </c>
    </row>
    <row r="214" spans="1:78" ht="15" customHeight="1" x14ac:dyDescent="0.25">
      <c r="A214" t="s">
        <v>1148</v>
      </c>
      <c r="B214" t="s">
        <v>94</v>
      </c>
      <c r="C214" s="1">
        <v>44855</v>
      </c>
      <c r="D214" s="1">
        <v>44900</v>
      </c>
      <c r="H214" t="s">
        <v>78</v>
      </c>
      <c r="I214" t="str">
        <f>"YUMUL"</f>
        <v>YUMUL</v>
      </c>
      <c r="J214" t="str">
        <f>"RAY"</f>
        <v>RAY</v>
      </c>
      <c r="K214" t="str">
        <f>"NARAJA"</f>
        <v>NARAJA</v>
      </c>
      <c r="L214" t="str">
        <f>"PRESIDENT"</f>
        <v>PRESIDENT</v>
      </c>
      <c r="M214" t="str">
        <f>"PO Box 500932 "</f>
        <v xml:space="preserve">PO Box 500932 </v>
      </c>
      <c r="N214" t="str">
        <f>""</f>
        <v/>
      </c>
      <c r="O214" t="str">
        <f t="shared" si="150"/>
        <v>SAIPAN</v>
      </c>
      <c r="P214" t="str">
        <f t="shared" si="147"/>
        <v>MP</v>
      </c>
      <c r="Q214" s="4" t="str">
        <f t="shared" si="148"/>
        <v>96950</v>
      </c>
      <c r="R214" t="str">
        <f t="shared" si="132"/>
        <v>UNITED STATES OF AMERICA</v>
      </c>
      <c r="S214" t="str">
        <f>""</f>
        <v/>
      </c>
      <c r="T214" s="5" t="str">
        <f>"16702333112"</f>
        <v>16702333112</v>
      </c>
      <c r="U214" t="str">
        <f>""</f>
        <v/>
      </c>
      <c r="V214" s="5" t="str">
        <f>""</f>
        <v/>
      </c>
      <c r="W214" t="str">
        <f>"ycocorporationlabor@yahoo.com"</f>
        <v>ycocorporationlabor@yahoo.com</v>
      </c>
      <c r="X214" t="str">
        <f>"YCO CORPORATION"</f>
        <v>YCO CORPORATION</v>
      </c>
      <c r="Y214" t="str">
        <f>""</f>
        <v/>
      </c>
      <c r="Z214" t="str">
        <f>"2nd Floor Yumul Bldg 2 Msgr Guerrero RD Chalan Kiya "</f>
        <v xml:space="preserve">2nd Floor Yumul Bldg 2 Msgr Guerrero RD Chalan Kiya </v>
      </c>
      <c r="AA214" t="str">
        <f>""</f>
        <v/>
      </c>
      <c r="AB214" t="str">
        <f t="shared" si="151"/>
        <v>SAIPAN</v>
      </c>
      <c r="AC214" t="str">
        <f t="shared" si="141"/>
        <v>MP</v>
      </c>
      <c r="AD214" t="str">
        <f t="shared" si="149"/>
        <v>96950</v>
      </c>
      <c r="AE214" t="str">
        <f t="shared" si="142"/>
        <v>UNITED STATES OF AMERICA</v>
      </c>
      <c r="AF214" t="str">
        <f>""</f>
        <v/>
      </c>
      <c r="AG214" s="4" t="str">
        <f>"16702333112"</f>
        <v>16702333112</v>
      </c>
      <c r="AH214" t="str">
        <f>""</f>
        <v/>
      </c>
      <c r="AI214" t="str">
        <f>"452319"</f>
        <v>452319</v>
      </c>
      <c r="AJ214" t="s">
        <v>79</v>
      </c>
      <c r="AK214" t="s">
        <v>79</v>
      </c>
      <c r="AL214" t="s">
        <v>80</v>
      </c>
      <c r="AM214" t="s">
        <v>79</v>
      </c>
      <c r="AP214" t="str">
        <f>"Maintenance and Repair Workers, General"</f>
        <v>Maintenance and Repair Workers, General</v>
      </c>
      <c r="AQ214" t="str">
        <f>"49-9071.00"</f>
        <v>49-9071.00</v>
      </c>
      <c r="AR214" t="str">
        <f>"Maintenance and Repair Workers, General"</f>
        <v>Maintenance and Repair Workers, General</v>
      </c>
      <c r="AS214" t="str">
        <f>"Manager"</f>
        <v>Manager</v>
      </c>
      <c r="AT214" t="s">
        <v>79</v>
      </c>
      <c r="AU214" t="str">
        <f>""</f>
        <v/>
      </c>
      <c r="AV214" t="str">
        <f>""</f>
        <v/>
      </c>
      <c r="AW214" t="s">
        <v>79</v>
      </c>
      <c r="AX214" t="str">
        <f>""</f>
        <v/>
      </c>
      <c r="AY214" t="s">
        <v>84</v>
      </c>
      <c r="BA214" t="s">
        <v>80</v>
      </c>
      <c r="BB214" t="s">
        <v>79</v>
      </c>
      <c r="BD214" t="s">
        <v>79</v>
      </c>
      <c r="BG214" t="s">
        <v>82</v>
      </c>
      <c r="BH214">
        <v>24</v>
      </c>
      <c r="BI214" t="s">
        <v>1149</v>
      </c>
      <c r="BJ214" s="2" t="s">
        <v>1150</v>
      </c>
      <c r="BK214" t="str">
        <f>"2nd Floor Yumul Bldg 2 Msgr Guerrero RD Chalan Kiya"</f>
        <v>2nd Floor Yumul Bldg 2 Msgr Guerrero RD Chalan Kiya</v>
      </c>
      <c r="BL214" t="str">
        <f>""</f>
        <v/>
      </c>
      <c r="BM214" t="str">
        <f>"SAIPAN"</f>
        <v>SAIPAN</v>
      </c>
      <c r="BO214" t="s">
        <v>83</v>
      </c>
      <c r="BP214" s="4" t="str">
        <f t="shared" si="119"/>
        <v>96950</v>
      </c>
      <c r="BQ214" t="s">
        <v>79</v>
      </c>
      <c r="BR214" t="str">
        <f>"49-9071.00"</f>
        <v>49-9071.00</v>
      </c>
      <c r="BS214" t="s">
        <v>146</v>
      </c>
      <c r="BT214" s="3">
        <v>9.19</v>
      </c>
      <c r="BU214" t="s">
        <v>80</v>
      </c>
      <c r="BV214" t="s">
        <v>90</v>
      </c>
      <c r="BW214" t="s">
        <v>92</v>
      </c>
      <c r="BZ214" s="1">
        <v>45107</v>
      </c>
    </row>
    <row r="215" spans="1:78" ht="15" customHeight="1" x14ac:dyDescent="0.25">
      <c r="A215" t="s">
        <v>1155</v>
      </c>
      <c r="B215" t="s">
        <v>94</v>
      </c>
      <c r="C215" s="1">
        <v>44855</v>
      </c>
      <c r="D215" s="1">
        <v>44900</v>
      </c>
      <c r="H215" t="s">
        <v>78</v>
      </c>
      <c r="I215" t="str">
        <f>"SABLAN"</f>
        <v>SABLAN</v>
      </c>
      <c r="J215" t="str">
        <f>"PETER"</f>
        <v>PETER</v>
      </c>
      <c r="K215" t="str">
        <f>"BARCINAS"</f>
        <v>BARCINAS</v>
      </c>
      <c r="L215" t="str">
        <f>"MEMBER"</f>
        <v>MEMBER</v>
      </c>
      <c r="M215" t="str">
        <f>"GROUND FLOOR, SABLAN AFETNA PLAZA"</f>
        <v>GROUND FLOOR, SABLAN AFETNA PLAZA</v>
      </c>
      <c r="N215" t="str">
        <f>"SAN ANTONIO"</f>
        <v>SAN ANTONIO</v>
      </c>
      <c r="O215" t="str">
        <f t="shared" si="150"/>
        <v>SAIPAN</v>
      </c>
      <c r="P215" t="str">
        <f t="shared" si="147"/>
        <v>MP</v>
      </c>
      <c r="Q215" s="4" t="str">
        <f t="shared" si="148"/>
        <v>96950</v>
      </c>
      <c r="R215" t="str">
        <f t="shared" si="132"/>
        <v>UNITED STATES OF AMERICA</v>
      </c>
      <c r="S215" t="str">
        <f>""</f>
        <v/>
      </c>
      <c r="T215" s="5" t="str">
        <f>"16702351680"</f>
        <v>16702351680</v>
      </c>
      <c r="U215" t="str">
        <f>""</f>
        <v/>
      </c>
      <c r="V215" s="5" t="str">
        <f>""</f>
        <v/>
      </c>
      <c r="W215" t="str">
        <f>"sapaydpena@gmail.com"</f>
        <v>sapaydpena@gmail.com</v>
      </c>
      <c r="X215" t="str">
        <f>"SAIPAN APPAREL PRINTING LLC"</f>
        <v>SAIPAN APPAREL PRINTING LLC</v>
      </c>
      <c r="Y215" t="str">
        <f>""</f>
        <v/>
      </c>
      <c r="Z215" t="str">
        <f>"GROUND FLOOR, SABLAN AFETNA PLAZA"</f>
        <v>GROUND FLOOR, SABLAN AFETNA PLAZA</v>
      </c>
      <c r="AA215" t="str">
        <f>"SAN ANTONIO"</f>
        <v>SAN ANTONIO</v>
      </c>
      <c r="AB215" t="str">
        <f t="shared" si="151"/>
        <v>SAIPAN</v>
      </c>
      <c r="AC215" t="str">
        <f t="shared" si="141"/>
        <v>MP</v>
      </c>
      <c r="AD215" t="str">
        <f t="shared" si="149"/>
        <v>96950</v>
      </c>
      <c r="AE215" t="str">
        <f t="shared" si="142"/>
        <v>UNITED STATES OF AMERICA</v>
      </c>
      <c r="AF215" t="str">
        <f>""</f>
        <v/>
      </c>
      <c r="AG215" s="4" t="str">
        <f>"16702351680"</f>
        <v>16702351680</v>
      </c>
      <c r="AH215" t="str">
        <f>""</f>
        <v/>
      </c>
      <c r="AI215" t="str">
        <f>"314999"</f>
        <v>314999</v>
      </c>
      <c r="AJ215" t="s">
        <v>79</v>
      </c>
      <c r="AK215" t="s">
        <v>79</v>
      </c>
      <c r="AL215" t="s">
        <v>80</v>
      </c>
      <c r="AM215" t="s">
        <v>79</v>
      </c>
      <c r="AP215" t="str">
        <f>"Embroidery Machine Operator"</f>
        <v>Embroidery Machine Operator</v>
      </c>
      <c r="AQ215" t="str">
        <f>"51-6031.00"</f>
        <v>51-6031.00</v>
      </c>
      <c r="AR215" t="str">
        <f>"Sewing Machine Operators"</f>
        <v>Sewing Machine Operators</v>
      </c>
      <c r="AS215" t="str">
        <f>"N/A"</f>
        <v>N/A</v>
      </c>
      <c r="AT215" t="s">
        <v>79</v>
      </c>
      <c r="AU215" t="str">
        <f>""</f>
        <v/>
      </c>
      <c r="AV215" t="str">
        <f>""</f>
        <v/>
      </c>
      <c r="AW215" t="s">
        <v>79</v>
      </c>
      <c r="AX215" t="str">
        <f>""</f>
        <v/>
      </c>
      <c r="AY215" t="s">
        <v>84</v>
      </c>
      <c r="BA215" t="s">
        <v>80</v>
      </c>
      <c r="BB215" t="s">
        <v>79</v>
      </c>
      <c r="BD215" t="s">
        <v>79</v>
      </c>
      <c r="BG215" t="s">
        <v>82</v>
      </c>
      <c r="BH215">
        <v>3</v>
      </c>
      <c r="BI215" t="s">
        <v>1156</v>
      </c>
      <c r="BJ215" t="s">
        <v>1157</v>
      </c>
      <c r="BK215" t="str">
        <f>"GROUND FLOOR, SABLAN AFETNA PLAZA"</f>
        <v>GROUND FLOOR, SABLAN AFETNA PLAZA</v>
      </c>
      <c r="BL215" t="str">
        <f>"SAN ANTONIO "</f>
        <v xml:space="preserve">SAN ANTONIO </v>
      </c>
      <c r="BM215" t="str">
        <f>"SAIPAN"</f>
        <v>SAIPAN</v>
      </c>
      <c r="BO215" t="s">
        <v>83</v>
      </c>
      <c r="BP215" s="4" t="str">
        <f t="shared" ref="BP215:BP224" si="152">"96950"</f>
        <v>96950</v>
      </c>
      <c r="BQ215" t="s">
        <v>79</v>
      </c>
      <c r="BR215" t="str">
        <f>"51-6031.00"</f>
        <v>51-6031.00</v>
      </c>
      <c r="BS215" t="s">
        <v>861</v>
      </c>
      <c r="BT215" s="3">
        <v>8.0299999999999994</v>
      </c>
      <c r="BU215" t="s">
        <v>80</v>
      </c>
      <c r="BV215" t="s">
        <v>90</v>
      </c>
      <c r="BW215" t="s">
        <v>92</v>
      </c>
      <c r="BZ215" s="1">
        <v>45107</v>
      </c>
    </row>
    <row r="216" spans="1:78" ht="15" customHeight="1" x14ac:dyDescent="0.25">
      <c r="A216" t="s">
        <v>1122</v>
      </c>
      <c r="B216" t="s">
        <v>94</v>
      </c>
      <c r="C216" s="1">
        <v>44854</v>
      </c>
      <c r="D216" s="1">
        <v>44900</v>
      </c>
      <c r="H216" t="s">
        <v>78</v>
      </c>
      <c r="I216" t="str">
        <f>"SHEU"</f>
        <v>SHEU</v>
      </c>
      <c r="J216" t="str">
        <f>"MICHAEL "</f>
        <v xml:space="preserve">MICHAEL </v>
      </c>
      <c r="K216" t="str">
        <f>"UNPINGCO"</f>
        <v>UNPINGCO</v>
      </c>
      <c r="L216" t="str">
        <f>"VICE-PRESIDENT"</f>
        <v>VICE-PRESIDENT</v>
      </c>
      <c r="M216" t="str">
        <f>"3786 AFETNAS ROAD SAN ANTONIO"</f>
        <v>3786 AFETNAS ROAD SAN ANTONIO</v>
      </c>
      <c r="N216" t="str">
        <f>""</f>
        <v/>
      </c>
      <c r="O216" t="str">
        <f t="shared" si="150"/>
        <v>SAIPAN</v>
      </c>
      <c r="P216" t="str">
        <f t="shared" si="147"/>
        <v>MP</v>
      </c>
      <c r="Q216" s="4" t="str">
        <f t="shared" si="148"/>
        <v>96950</v>
      </c>
      <c r="R216" t="str">
        <f t="shared" si="132"/>
        <v>UNITED STATES OF AMERICA</v>
      </c>
      <c r="S216" t="str">
        <f>""</f>
        <v/>
      </c>
      <c r="T216" s="5" t="str">
        <f>"16702358748"</f>
        <v>16702358748</v>
      </c>
      <c r="U216" t="str">
        <f>""</f>
        <v/>
      </c>
      <c r="V216" s="5" t="str">
        <f>""</f>
        <v/>
      </c>
      <c r="W216" t="str">
        <f>"msheu@hongyehardware.com"</f>
        <v>msheu@hongyehardware.com</v>
      </c>
      <c r="X216" t="str">
        <f>"HONG YE TRADING CO LTD"</f>
        <v>HONG YE TRADING CO LTD</v>
      </c>
      <c r="Y216" t="str">
        <f>"HONG YE HARDWARE"</f>
        <v>HONG YE HARDWARE</v>
      </c>
      <c r="Z216" t="str">
        <f>"3786 AFETNAS ROAD SAN ANTONIO"</f>
        <v>3786 AFETNAS ROAD SAN ANTONIO</v>
      </c>
      <c r="AA216" t="str">
        <f>""</f>
        <v/>
      </c>
      <c r="AB216" t="str">
        <f t="shared" si="151"/>
        <v>SAIPAN</v>
      </c>
      <c r="AC216" t="str">
        <f t="shared" si="141"/>
        <v>MP</v>
      </c>
      <c r="AD216" t="str">
        <f t="shared" si="149"/>
        <v>96950</v>
      </c>
      <c r="AE216" t="str">
        <f t="shared" si="142"/>
        <v>UNITED STATES OF AMERICA</v>
      </c>
      <c r="AF216" t="str">
        <f>""</f>
        <v/>
      </c>
      <c r="AG216" s="4" t="str">
        <f>"16702358748"</f>
        <v>16702358748</v>
      </c>
      <c r="AH216" t="str">
        <f>""</f>
        <v/>
      </c>
      <c r="AI216" t="str">
        <f>"423710"</f>
        <v>423710</v>
      </c>
      <c r="AJ216" t="s">
        <v>79</v>
      </c>
      <c r="AK216" t="s">
        <v>79</v>
      </c>
      <c r="AL216" t="s">
        <v>80</v>
      </c>
      <c r="AM216" t="s">
        <v>79</v>
      </c>
      <c r="AP216" t="str">
        <f>"MANAGER"</f>
        <v>MANAGER</v>
      </c>
      <c r="AQ216" t="str">
        <f>"11-1021.00"</f>
        <v>11-1021.00</v>
      </c>
      <c r="AR216" t="str">
        <f>"General and Operations Managers"</f>
        <v>General and Operations Managers</v>
      </c>
      <c r="AS216" t="str">
        <f>"VICE-PRESIDENT"</f>
        <v>VICE-PRESIDENT</v>
      </c>
      <c r="AT216" t="s">
        <v>82</v>
      </c>
      <c r="AU216" t="str">
        <f>"10"</f>
        <v>10</v>
      </c>
      <c r="AV216" t="str">
        <f>"Subordinate"</f>
        <v>Subordinate</v>
      </c>
      <c r="AW216" t="s">
        <v>79</v>
      </c>
      <c r="AX216" t="str">
        <f>""</f>
        <v/>
      </c>
      <c r="AY216" t="s">
        <v>95</v>
      </c>
      <c r="BA216" t="s">
        <v>1123</v>
      </c>
      <c r="BB216" t="s">
        <v>79</v>
      </c>
      <c r="BD216" t="s">
        <v>79</v>
      </c>
      <c r="BG216" t="s">
        <v>82</v>
      </c>
      <c r="BH216">
        <v>24</v>
      </c>
      <c r="BI216" t="s">
        <v>1124</v>
      </c>
      <c r="BJ216" t="s">
        <v>1125</v>
      </c>
      <c r="BK216" t="str">
        <f>"3786 AFETNAS ROAD SAN ANTONIO "</f>
        <v xml:space="preserve">3786 AFETNAS ROAD SAN ANTONIO </v>
      </c>
      <c r="BL216" t="str">
        <f>""</f>
        <v/>
      </c>
      <c r="BM216" t="str">
        <f>"SAIPAN"</f>
        <v>SAIPAN</v>
      </c>
      <c r="BO216" t="s">
        <v>83</v>
      </c>
      <c r="BP216" s="4" t="str">
        <f t="shared" si="152"/>
        <v>96950</v>
      </c>
      <c r="BQ216" t="s">
        <v>79</v>
      </c>
      <c r="BR216" t="str">
        <f>"11-1021.00"</f>
        <v>11-1021.00</v>
      </c>
      <c r="BS216" t="s">
        <v>244</v>
      </c>
      <c r="BT216" s="3">
        <v>20.83</v>
      </c>
      <c r="BU216" t="s">
        <v>80</v>
      </c>
      <c r="BV216" t="s">
        <v>90</v>
      </c>
      <c r="BW216" t="s">
        <v>92</v>
      </c>
      <c r="BZ216" s="1">
        <v>45107</v>
      </c>
    </row>
    <row r="217" spans="1:78" ht="15" customHeight="1" x14ac:dyDescent="0.25">
      <c r="A217" t="s">
        <v>1126</v>
      </c>
      <c r="B217" t="s">
        <v>94</v>
      </c>
      <c r="C217" s="1">
        <v>44854</v>
      </c>
      <c r="D217" s="1">
        <v>44900</v>
      </c>
      <c r="H217" t="s">
        <v>78</v>
      </c>
      <c r="I217" t="str">
        <f>"SHEU"</f>
        <v>SHEU</v>
      </c>
      <c r="J217" t="str">
        <f>"MICHAEL"</f>
        <v>MICHAEL</v>
      </c>
      <c r="K217" t="str">
        <f>"UNPINGCO"</f>
        <v>UNPINGCO</v>
      </c>
      <c r="L217" t="str">
        <f>"VICE-PRESIDENT"</f>
        <v>VICE-PRESIDENT</v>
      </c>
      <c r="M217" t="str">
        <f>"3786 AFETNAS ROAD SAN ANTONIO"</f>
        <v>3786 AFETNAS ROAD SAN ANTONIO</v>
      </c>
      <c r="N217" t="str">
        <f>""</f>
        <v/>
      </c>
      <c r="O217" t="str">
        <f t="shared" si="150"/>
        <v>SAIPAN</v>
      </c>
      <c r="P217" t="str">
        <f t="shared" si="147"/>
        <v>MP</v>
      </c>
      <c r="Q217" s="4" t="str">
        <f t="shared" si="148"/>
        <v>96950</v>
      </c>
      <c r="R217" t="str">
        <f t="shared" si="132"/>
        <v>UNITED STATES OF AMERICA</v>
      </c>
      <c r="S217" t="str">
        <f>""</f>
        <v/>
      </c>
      <c r="T217" s="5" t="str">
        <f>"16702358748"</f>
        <v>16702358748</v>
      </c>
      <c r="U217" t="str">
        <f>""</f>
        <v/>
      </c>
      <c r="V217" s="5" t="str">
        <f>""</f>
        <v/>
      </c>
      <c r="W217" t="str">
        <f>"msheu@hongyehardware.com"</f>
        <v>msheu@hongyehardware.com</v>
      </c>
      <c r="X217" t="str">
        <f>"HONG YE TRADING CO. LTD"</f>
        <v>HONG YE TRADING CO. LTD</v>
      </c>
      <c r="Y217" t="str">
        <f>"HONG YE HARDWARE"</f>
        <v>HONG YE HARDWARE</v>
      </c>
      <c r="Z217" t="str">
        <f>"3786 AFETNAS ROAD SAN ANTONIO"</f>
        <v>3786 AFETNAS ROAD SAN ANTONIO</v>
      </c>
      <c r="AA217" t="str">
        <f>""</f>
        <v/>
      </c>
      <c r="AB217" t="str">
        <f t="shared" si="151"/>
        <v>SAIPAN</v>
      </c>
      <c r="AC217" t="str">
        <f t="shared" si="141"/>
        <v>MP</v>
      </c>
      <c r="AD217" t="str">
        <f t="shared" si="149"/>
        <v>96950</v>
      </c>
      <c r="AE217" t="str">
        <f t="shared" si="142"/>
        <v>UNITED STATES OF AMERICA</v>
      </c>
      <c r="AF217" t="str">
        <f>""</f>
        <v/>
      </c>
      <c r="AG217" s="4" t="str">
        <f>"16702358748"</f>
        <v>16702358748</v>
      </c>
      <c r="AH217" t="str">
        <f>""</f>
        <v/>
      </c>
      <c r="AI217" t="str">
        <f>"423710"</f>
        <v>423710</v>
      </c>
      <c r="AJ217" t="s">
        <v>79</v>
      </c>
      <c r="AK217" t="s">
        <v>79</v>
      </c>
      <c r="AL217" t="s">
        <v>80</v>
      </c>
      <c r="AM217" t="s">
        <v>79</v>
      </c>
      <c r="AP217" t="str">
        <f>"RETAIL SALES ASSOCIATE"</f>
        <v>RETAIL SALES ASSOCIATE</v>
      </c>
      <c r="AQ217" t="str">
        <f>"41-2031.00"</f>
        <v>41-2031.00</v>
      </c>
      <c r="AR217" t="str">
        <f>"Retail Salespersons"</f>
        <v>Retail Salespersons</v>
      </c>
      <c r="AS217" t="str">
        <f>"SUPERVISOR"</f>
        <v>SUPERVISOR</v>
      </c>
      <c r="AT217" t="s">
        <v>79</v>
      </c>
      <c r="AU217" t="str">
        <f>""</f>
        <v/>
      </c>
      <c r="AV217" t="str">
        <f>""</f>
        <v/>
      </c>
      <c r="AW217" t="s">
        <v>79</v>
      </c>
      <c r="AX217" t="str">
        <f>""</f>
        <v/>
      </c>
      <c r="AY217" t="s">
        <v>84</v>
      </c>
      <c r="BA217" t="s">
        <v>80</v>
      </c>
      <c r="BB217" t="s">
        <v>79</v>
      </c>
      <c r="BD217" t="s">
        <v>79</v>
      </c>
      <c r="BG217" t="s">
        <v>82</v>
      </c>
      <c r="BH217">
        <v>12</v>
      </c>
      <c r="BI217" t="s">
        <v>1127</v>
      </c>
      <c r="BJ217" t="s">
        <v>1128</v>
      </c>
      <c r="BK217" t="str">
        <f>"3786 AFETNAS ROAD SAN ANTONIO"</f>
        <v>3786 AFETNAS ROAD SAN ANTONIO</v>
      </c>
      <c r="BL217" t="str">
        <f>""</f>
        <v/>
      </c>
      <c r="BM217" t="str">
        <f>"SAIPAN"</f>
        <v>SAIPAN</v>
      </c>
      <c r="BO217" t="s">
        <v>83</v>
      </c>
      <c r="BP217" s="4" t="str">
        <f t="shared" si="152"/>
        <v>96950</v>
      </c>
      <c r="BQ217" t="s">
        <v>79</v>
      </c>
      <c r="BR217" t="str">
        <f>"41-2031.00"</f>
        <v>41-2031.00</v>
      </c>
      <c r="BS217" t="s">
        <v>1129</v>
      </c>
      <c r="BT217" s="3">
        <v>8.92</v>
      </c>
      <c r="BU217" t="s">
        <v>80</v>
      </c>
      <c r="BV217" t="s">
        <v>90</v>
      </c>
      <c r="BW217" t="s">
        <v>92</v>
      </c>
      <c r="BZ217" s="1">
        <v>45107</v>
      </c>
    </row>
    <row r="218" spans="1:78" ht="15" customHeight="1" x14ac:dyDescent="0.25">
      <c r="A218" t="s">
        <v>1136</v>
      </c>
      <c r="B218" t="s">
        <v>94</v>
      </c>
      <c r="C218" s="1">
        <v>44854</v>
      </c>
      <c r="D218" s="1">
        <v>44900</v>
      </c>
      <c r="H218" t="s">
        <v>78</v>
      </c>
      <c r="I218" t="str">
        <f>"LIN "</f>
        <v xml:space="preserve">LIN </v>
      </c>
      <c r="J218" t="str">
        <f>"HSIA-LING "</f>
        <v xml:space="preserve">HSIA-LING </v>
      </c>
      <c r="K218" t="str">
        <f>"HUANG"</f>
        <v>HUANG</v>
      </c>
      <c r="L218" t="str">
        <f>"PRESIDENT"</f>
        <v>PRESIDENT</v>
      </c>
      <c r="M218" t="str">
        <f>"GROUND FLOOR, SABLAN AFETNA PLAZA"</f>
        <v>GROUND FLOOR, SABLAN AFETNA PLAZA</v>
      </c>
      <c r="N218" t="str">
        <f>"SAN ANTONIO"</f>
        <v>SAN ANTONIO</v>
      </c>
      <c r="O218" t="str">
        <f t="shared" si="150"/>
        <v>SAIPAN</v>
      </c>
      <c r="P218" t="str">
        <f t="shared" si="147"/>
        <v>MP</v>
      </c>
      <c r="Q218" s="4" t="str">
        <f t="shared" si="148"/>
        <v>96950</v>
      </c>
      <c r="R218" t="str">
        <f t="shared" si="132"/>
        <v>UNITED STATES OF AMERICA</v>
      </c>
      <c r="S218" t="str">
        <f>""</f>
        <v/>
      </c>
      <c r="T218" s="5" t="str">
        <f>"16702357270"</f>
        <v>16702357270</v>
      </c>
      <c r="U218" t="str">
        <f>""</f>
        <v/>
      </c>
      <c r="V218" s="5" t="str">
        <f>""</f>
        <v/>
      </c>
      <c r="W218" t="str">
        <f>"penasapayd@gmail.com"</f>
        <v>penasapayd@gmail.com</v>
      </c>
      <c r="X218" t="str">
        <f>"PAM PACIFIC ENTERPRISES CORP."</f>
        <v>PAM PACIFIC ENTERPRISES CORP.</v>
      </c>
      <c r="Y218" t="str">
        <f>"PENA HOUSE BOUTIQUE AND SALON"</f>
        <v>PENA HOUSE BOUTIQUE AND SALON</v>
      </c>
      <c r="Z218" t="str">
        <f>"GROUND FLOOR, SABLAN AFETNA PLAZA"</f>
        <v>GROUND FLOOR, SABLAN AFETNA PLAZA</v>
      </c>
      <c r="AA218" t="str">
        <f>"SAN ANTONIO"</f>
        <v>SAN ANTONIO</v>
      </c>
      <c r="AB218" t="str">
        <f t="shared" si="151"/>
        <v>SAIPAN</v>
      </c>
      <c r="AC218" t="str">
        <f t="shared" si="141"/>
        <v>MP</v>
      </c>
      <c r="AD218" t="str">
        <f t="shared" si="149"/>
        <v>96950</v>
      </c>
      <c r="AE218" t="str">
        <f t="shared" si="142"/>
        <v>UNITED STATES OF AMERICA</v>
      </c>
      <c r="AF218" t="str">
        <f>""</f>
        <v/>
      </c>
      <c r="AG218" s="4" t="str">
        <f>"16702357270"</f>
        <v>16702357270</v>
      </c>
      <c r="AH218" t="str">
        <f>""</f>
        <v/>
      </c>
      <c r="AI218" t="str">
        <f>"44812"</f>
        <v>44812</v>
      </c>
      <c r="AJ218" t="s">
        <v>79</v>
      </c>
      <c r="AK218" t="s">
        <v>79</v>
      </c>
      <c r="AL218" t="s">
        <v>80</v>
      </c>
      <c r="AM218" t="s">
        <v>79</v>
      </c>
      <c r="AP218" t="str">
        <f>"SEWING MACHINE OPERATOR"</f>
        <v>SEWING MACHINE OPERATOR</v>
      </c>
      <c r="AQ218" t="str">
        <f>"51-6031.00"</f>
        <v>51-6031.00</v>
      </c>
      <c r="AR218" t="str">
        <f>"Sewing Machine Operators"</f>
        <v>Sewing Machine Operators</v>
      </c>
      <c r="AS218" t="str">
        <f>"N/A"</f>
        <v>N/A</v>
      </c>
      <c r="AT218" t="s">
        <v>79</v>
      </c>
      <c r="AU218" t="str">
        <f>""</f>
        <v/>
      </c>
      <c r="AV218" t="str">
        <f>""</f>
        <v/>
      </c>
      <c r="AW218" t="s">
        <v>79</v>
      </c>
      <c r="AX218" t="str">
        <f>""</f>
        <v/>
      </c>
      <c r="AY218" t="s">
        <v>84</v>
      </c>
      <c r="BA218" t="s">
        <v>80</v>
      </c>
      <c r="BB218" t="s">
        <v>79</v>
      </c>
      <c r="BD218" t="s">
        <v>79</v>
      </c>
      <c r="BG218" t="s">
        <v>82</v>
      </c>
      <c r="BH218">
        <v>3</v>
      </c>
      <c r="BI218" t="s">
        <v>1137</v>
      </c>
      <c r="BJ218" t="s">
        <v>1138</v>
      </c>
      <c r="BK218" t="str">
        <f>"Ground Floor, Sablan Afetna Plaza"</f>
        <v>Ground Floor, Sablan Afetna Plaza</v>
      </c>
      <c r="BL218" t="str">
        <f>"San Antonio"</f>
        <v>San Antonio</v>
      </c>
      <c r="BM218" t="str">
        <f>"Saipan"</f>
        <v>Saipan</v>
      </c>
      <c r="BO218" t="s">
        <v>83</v>
      </c>
      <c r="BP218" s="4" t="str">
        <f t="shared" si="152"/>
        <v>96950</v>
      </c>
      <c r="BQ218" t="s">
        <v>79</v>
      </c>
      <c r="BR218" t="str">
        <f>"51-6031.00"</f>
        <v>51-6031.00</v>
      </c>
      <c r="BS218" t="s">
        <v>861</v>
      </c>
      <c r="BT218" s="3">
        <v>8.0299999999999994</v>
      </c>
      <c r="BU218" t="s">
        <v>80</v>
      </c>
      <c r="BV218" t="s">
        <v>90</v>
      </c>
      <c r="BW218" t="s">
        <v>92</v>
      </c>
      <c r="BZ218" s="1">
        <v>45107</v>
      </c>
    </row>
    <row r="219" spans="1:78" ht="15" customHeight="1" x14ac:dyDescent="0.25">
      <c r="A219" t="s">
        <v>665</v>
      </c>
      <c r="B219" t="s">
        <v>94</v>
      </c>
      <c r="C219" s="1">
        <v>44831</v>
      </c>
      <c r="D219" s="1">
        <v>44900</v>
      </c>
      <c r="H219" t="s">
        <v>78</v>
      </c>
      <c r="I219" t="str">
        <f>"Kim"</f>
        <v>Kim</v>
      </c>
      <c r="J219" t="str">
        <f>"Doyi"</f>
        <v>Doyi</v>
      </c>
      <c r="K219" t="str">
        <f>""</f>
        <v/>
      </c>
      <c r="L219" t="str">
        <f>"Corporate Secretary"</f>
        <v>Corporate Secretary</v>
      </c>
      <c r="M219" t="str">
        <f>"P.O. Box 506003"</f>
        <v>P.O. Box 506003</v>
      </c>
      <c r="N219" t="str">
        <f>""</f>
        <v/>
      </c>
      <c r="O219" t="str">
        <f>"Saipan"</f>
        <v>Saipan</v>
      </c>
      <c r="P219" t="str">
        <f t="shared" si="147"/>
        <v>MP</v>
      </c>
      <c r="Q219" s="4" t="str">
        <f t="shared" si="148"/>
        <v>96950</v>
      </c>
      <c r="R219" t="str">
        <f t="shared" si="132"/>
        <v>UNITED STATES OF AMERICA</v>
      </c>
      <c r="S219" t="str">
        <f>""</f>
        <v/>
      </c>
      <c r="T219" s="5" t="str">
        <f>"16702353313"</f>
        <v>16702353313</v>
      </c>
      <c r="U219" t="str">
        <f>""</f>
        <v/>
      </c>
      <c r="V219" s="5" t="str">
        <f>""</f>
        <v/>
      </c>
      <c r="W219" t="str">
        <f>"saipanwinners5@gmail.com"</f>
        <v>saipanwinners5@gmail.com</v>
      </c>
      <c r="X219" t="str">
        <f>"Marianas Meat Harvesting Corporation"</f>
        <v>Marianas Meat Harvesting Corporation</v>
      </c>
      <c r="Y219" t="str">
        <f>"CK Smokehouse &amp; Salad, Fresh Market, MMHC Local Produce, et al"</f>
        <v>CK Smokehouse &amp; Salad, Fresh Market, MMHC Local Produce, et al</v>
      </c>
      <c r="Z219" t="str">
        <f>"P.O. Box 506003"</f>
        <v>P.O. Box 506003</v>
      </c>
      <c r="AA219" t="str">
        <f>""</f>
        <v/>
      </c>
      <c r="AB219" t="str">
        <f>"Saipan"</f>
        <v>Saipan</v>
      </c>
      <c r="AC219" t="str">
        <f t="shared" si="141"/>
        <v>MP</v>
      </c>
      <c r="AD219" t="str">
        <f t="shared" si="149"/>
        <v>96950</v>
      </c>
      <c r="AE219" t="str">
        <f t="shared" si="142"/>
        <v>UNITED STATES OF AMERICA</v>
      </c>
      <c r="AF219" t="str">
        <f>""</f>
        <v/>
      </c>
      <c r="AG219" s="4" t="str">
        <f>"16702353313"</f>
        <v>16702353313</v>
      </c>
      <c r="AH219" t="str">
        <f>""</f>
        <v/>
      </c>
      <c r="AI219" t="str">
        <f>"722511"</f>
        <v>722511</v>
      </c>
      <c r="AJ219" t="s">
        <v>79</v>
      </c>
      <c r="AK219" t="s">
        <v>79</v>
      </c>
      <c r="AL219" t="s">
        <v>80</v>
      </c>
      <c r="AM219" t="s">
        <v>79</v>
      </c>
      <c r="AP219" t="str">
        <f>"Baker &amp; Pastry Chef"</f>
        <v>Baker &amp; Pastry Chef</v>
      </c>
      <c r="AQ219" t="str">
        <f>"51-3011.00"</f>
        <v>51-3011.00</v>
      </c>
      <c r="AR219" t="str">
        <f>"Bakers"</f>
        <v>Bakers</v>
      </c>
      <c r="AS219" t="str">
        <f>"General Manager"</f>
        <v>General Manager</v>
      </c>
      <c r="AT219" t="s">
        <v>79</v>
      </c>
      <c r="AU219" t="str">
        <f>""</f>
        <v/>
      </c>
      <c r="AV219" t="str">
        <f>""</f>
        <v/>
      </c>
      <c r="AW219" t="s">
        <v>79</v>
      </c>
      <c r="AX219" t="str">
        <f>""</f>
        <v/>
      </c>
      <c r="AY219" t="s">
        <v>84</v>
      </c>
      <c r="BA219" t="s">
        <v>80</v>
      </c>
      <c r="BB219" t="s">
        <v>79</v>
      </c>
      <c r="BD219" t="s">
        <v>79</v>
      </c>
      <c r="BG219" t="s">
        <v>82</v>
      </c>
      <c r="BH219">
        <v>12</v>
      </c>
      <c r="BI219" t="s">
        <v>666</v>
      </c>
      <c r="BJ219" t="s">
        <v>667</v>
      </c>
      <c r="BK219" t="str">
        <f>"Konsolacion St"</f>
        <v>Konsolacion St</v>
      </c>
      <c r="BL219" t="str">
        <f>"Chalan Kanoa"</f>
        <v>Chalan Kanoa</v>
      </c>
      <c r="BM219" t="str">
        <f>"Saipan"</f>
        <v>Saipan</v>
      </c>
      <c r="BO219" t="s">
        <v>83</v>
      </c>
      <c r="BP219" s="4" t="str">
        <f t="shared" si="152"/>
        <v>96950</v>
      </c>
      <c r="BQ219" t="s">
        <v>79</v>
      </c>
      <c r="BR219" t="str">
        <f>"51-3011.00"</f>
        <v>51-3011.00</v>
      </c>
      <c r="BS219" t="s">
        <v>331</v>
      </c>
      <c r="BT219" s="3">
        <v>8.19</v>
      </c>
      <c r="BU219" t="s">
        <v>80</v>
      </c>
      <c r="BV219" t="s">
        <v>90</v>
      </c>
      <c r="BW219" t="s">
        <v>92</v>
      </c>
      <c r="BZ219" s="1">
        <v>45107</v>
      </c>
    </row>
    <row r="220" spans="1:78" ht="15" customHeight="1" x14ac:dyDescent="0.25">
      <c r="A220" t="s">
        <v>652</v>
      </c>
      <c r="B220" t="s">
        <v>94</v>
      </c>
      <c r="C220" s="1">
        <v>44830</v>
      </c>
      <c r="D220" s="1">
        <v>44900</v>
      </c>
      <c r="H220" t="s">
        <v>78</v>
      </c>
      <c r="I220" t="str">
        <f>"KIM"</f>
        <v>KIM</v>
      </c>
      <c r="J220" t="str">
        <f>"DOYI"</f>
        <v>DOYI</v>
      </c>
      <c r="K220" t="str">
        <f>""</f>
        <v/>
      </c>
      <c r="L220" t="str">
        <f>"GENERAL MANAGER"</f>
        <v>GENERAL MANAGER</v>
      </c>
      <c r="M220" t="str">
        <f>"P.O. BOX 506003"</f>
        <v>P.O. BOX 506003</v>
      </c>
      <c r="N220" t="str">
        <f>""</f>
        <v/>
      </c>
      <c r="O220" t="str">
        <f>"SAIPAN"</f>
        <v>SAIPAN</v>
      </c>
      <c r="P220" t="str">
        <f t="shared" si="147"/>
        <v>MP</v>
      </c>
      <c r="Q220" s="4" t="str">
        <f t="shared" si="148"/>
        <v>96950</v>
      </c>
      <c r="R220" t="str">
        <f t="shared" si="132"/>
        <v>UNITED STATES OF AMERICA</v>
      </c>
      <c r="S220" t="str">
        <f>""</f>
        <v/>
      </c>
      <c r="T220" s="5" t="str">
        <f>"16702353313"</f>
        <v>16702353313</v>
      </c>
      <c r="U220" t="str">
        <f>""</f>
        <v/>
      </c>
      <c r="V220" s="5" t="str">
        <f>""</f>
        <v/>
      </c>
      <c r="W220" t="str">
        <f>"saipanwinners5@gmail.com"</f>
        <v>saipanwinners5@gmail.com</v>
      </c>
      <c r="X220" t="str">
        <f>"P&amp;A Corporation"</f>
        <v>P&amp;A Corporation</v>
      </c>
      <c r="Y220" t="str">
        <f>"Winners Residence, Winners Hardware, Winners Gas, et al"</f>
        <v>Winners Residence, Winners Hardware, Winners Gas, et al</v>
      </c>
      <c r="Z220" t="str">
        <f>"P.O. Box 506003"</f>
        <v>P.O. Box 506003</v>
      </c>
      <c r="AA220" t="str">
        <f>""</f>
        <v/>
      </c>
      <c r="AB220" t="str">
        <f>"Saipan"</f>
        <v>Saipan</v>
      </c>
      <c r="AC220" t="str">
        <f t="shared" si="141"/>
        <v>MP</v>
      </c>
      <c r="AD220" t="str">
        <f t="shared" si="149"/>
        <v>96950</v>
      </c>
      <c r="AE220" t="str">
        <f t="shared" si="142"/>
        <v>UNITED STATES OF AMERICA</v>
      </c>
      <c r="AF220" t="str">
        <f>""</f>
        <v/>
      </c>
      <c r="AG220" s="4" t="str">
        <f>"16702353313"</f>
        <v>16702353313</v>
      </c>
      <c r="AH220" t="str">
        <f>""</f>
        <v/>
      </c>
      <c r="AI220" t="str">
        <f>"722511"</f>
        <v>722511</v>
      </c>
      <c r="AJ220" t="s">
        <v>79</v>
      </c>
      <c r="AK220" t="s">
        <v>79</v>
      </c>
      <c r="AL220" t="s">
        <v>80</v>
      </c>
      <c r="AM220" t="s">
        <v>79</v>
      </c>
      <c r="AP220" t="str">
        <f>"Baker &amp; Pastry Chef"</f>
        <v>Baker &amp; Pastry Chef</v>
      </c>
      <c r="AQ220" t="str">
        <f>"51-3011.00"</f>
        <v>51-3011.00</v>
      </c>
      <c r="AR220" t="str">
        <f>"Bakers"</f>
        <v>Bakers</v>
      </c>
      <c r="AS220" t="str">
        <f>"General Manager"</f>
        <v>General Manager</v>
      </c>
      <c r="AT220" t="s">
        <v>79</v>
      </c>
      <c r="AU220" t="str">
        <f>""</f>
        <v/>
      </c>
      <c r="AV220" t="str">
        <f>""</f>
        <v/>
      </c>
      <c r="AW220" t="s">
        <v>79</v>
      </c>
      <c r="AX220" t="str">
        <f>""</f>
        <v/>
      </c>
      <c r="AY220" t="s">
        <v>84</v>
      </c>
      <c r="BA220" t="s">
        <v>80</v>
      </c>
      <c r="BB220" t="s">
        <v>79</v>
      </c>
      <c r="BD220" t="s">
        <v>79</v>
      </c>
      <c r="BG220" t="s">
        <v>82</v>
      </c>
      <c r="BH220">
        <v>12</v>
      </c>
      <c r="BI220" t="s">
        <v>653</v>
      </c>
      <c r="BJ220" t="s">
        <v>654</v>
      </c>
      <c r="BK220" t="str">
        <f>"Afetna Rd"</f>
        <v>Afetna Rd</v>
      </c>
      <c r="BL220" t="str">
        <f>"San Antonio"</f>
        <v>San Antonio</v>
      </c>
      <c r="BM220" t="str">
        <f>"Saipan"</f>
        <v>Saipan</v>
      </c>
      <c r="BO220" t="s">
        <v>83</v>
      </c>
      <c r="BP220" s="4" t="str">
        <f t="shared" si="152"/>
        <v>96950</v>
      </c>
      <c r="BQ220" t="s">
        <v>79</v>
      </c>
      <c r="BR220" t="str">
        <f>"51-3011.00"</f>
        <v>51-3011.00</v>
      </c>
      <c r="BS220" t="s">
        <v>331</v>
      </c>
      <c r="BT220" s="3">
        <v>8.19</v>
      </c>
      <c r="BU220" t="s">
        <v>80</v>
      </c>
      <c r="BV220" t="s">
        <v>90</v>
      </c>
      <c r="BW220" t="s">
        <v>92</v>
      </c>
      <c r="BZ220" s="1">
        <v>45107</v>
      </c>
    </row>
    <row r="221" spans="1:78" ht="15" customHeight="1" x14ac:dyDescent="0.25">
      <c r="A221" t="s">
        <v>1083</v>
      </c>
      <c r="B221" t="s">
        <v>94</v>
      </c>
      <c r="C221" s="1">
        <v>44854</v>
      </c>
      <c r="D221" s="1">
        <v>44897</v>
      </c>
      <c r="H221" t="s">
        <v>78</v>
      </c>
      <c r="I221" t="str">
        <f>"SABLAN"</f>
        <v>SABLAN</v>
      </c>
      <c r="J221" t="str">
        <f>"PETER"</f>
        <v>PETER</v>
      </c>
      <c r="K221" t="str">
        <f>"BARCINAS"</f>
        <v>BARCINAS</v>
      </c>
      <c r="L221" t="str">
        <f>"MEMBER"</f>
        <v>MEMBER</v>
      </c>
      <c r="M221" t="str">
        <f>"GROUND FLOOR SABLAN AFETNA PLAZA"</f>
        <v>GROUND FLOOR SABLAN AFETNA PLAZA</v>
      </c>
      <c r="N221" t="str">
        <f>"SAN ANTONIO"</f>
        <v>SAN ANTONIO</v>
      </c>
      <c r="O221" t="str">
        <f>"SAIPAN"</f>
        <v>SAIPAN</v>
      </c>
      <c r="P221" t="str">
        <f t="shared" si="147"/>
        <v>MP</v>
      </c>
      <c r="Q221" s="4" t="str">
        <f t="shared" si="148"/>
        <v>96950</v>
      </c>
      <c r="R221" t="str">
        <f t="shared" si="132"/>
        <v>UNITED STATES OF AMERICA</v>
      </c>
      <c r="S221" t="str">
        <f>""</f>
        <v/>
      </c>
      <c r="T221" s="5" t="str">
        <f>"16702351680"</f>
        <v>16702351680</v>
      </c>
      <c r="U221" t="str">
        <f>""</f>
        <v/>
      </c>
      <c r="V221" s="5" t="str">
        <f>""</f>
        <v/>
      </c>
      <c r="W221" t="str">
        <f>"sapaydpena@gmail.com"</f>
        <v>sapaydpena@gmail.com</v>
      </c>
      <c r="X221" t="str">
        <f>"SAIPAN APPAREL PRINTING LLC"</f>
        <v>SAIPAN APPAREL PRINTING LLC</v>
      </c>
      <c r="Y221" t="str">
        <f>""</f>
        <v/>
      </c>
      <c r="Z221" t="str">
        <f>"GROUND FLOOR SABLAN AFETNA PLAZA"</f>
        <v>GROUND FLOOR SABLAN AFETNA PLAZA</v>
      </c>
      <c r="AA221" t="str">
        <f>"SAN ANTONIO"</f>
        <v>SAN ANTONIO</v>
      </c>
      <c r="AB221" t="str">
        <f>"SAIPAN"</f>
        <v>SAIPAN</v>
      </c>
      <c r="AC221" t="str">
        <f t="shared" si="141"/>
        <v>MP</v>
      </c>
      <c r="AD221" t="str">
        <f t="shared" si="149"/>
        <v>96950</v>
      </c>
      <c r="AE221" t="str">
        <f t="shared" si="142"/>
        <v>UNITED STATES OF AMERICA</v>
      </c>
      <c r="AF221" t="str">
        <f>""</f>
        <v/>
      </c>
      <c r="AG221" s="4" t="str">
        <f>"16702351680"</f>
        <v>16702351680</v>
      </c>
      <c r="AH221" t="str">
        <f>""</f>
        <v/>
      </c>
      <c r="AI221" t="str">
        <f>"31331"</f>
        <v>31331</v>
      </c>
      <c r="AJ221" t="s">
        <v>79</v>
      </c>
      <c r="AK221" t="s">
        <v>79</v>
      </c>
      <c r="AL221" t="s">
        <v>80</v>
      </c>
      <c r="AM221" t="s">
        <v>79</v>
      </c>
      <c r="AP221" t="str">
        <f>"MAINTENANCE"</f>
        <v>MAINTENANCE</v>
      </c>
      <c r="AQ221" t="str">
        <f>"49-9071.00"</f>
        <v>49-9071.00</v>
      </c>
      <c r="AR221" t="str">
        <f>"Maintenance and Repair Workers, General"</f>
        <v>Maintenance and Repair Workers, General</v>
      </c>
      <c r="AS221" t="str">
        <f>"N/A"</f>
        <v>N/A</v>
      </c>
      <c r="AT221" t="s">
        <v>79</v>
      </c>
      <c r="AU221" t="str">
        <f>""</f>
        <v/>
      </c>
      <c r="AV221" t="str">
        <f>""</f>
        <v/>
      </c>
      <c r="AW221" t="s">
        <v>79</v>
      </c>
      <c r="AX221" t="str">
        <f>""</f>
        <v/>
      </c>
      <c r="AY221" t="s">
        <v>84</v>
      </c>
      <c r="BA221" t="s">
        <v>80</v>
      </c>
      <c r="BB221" t="s">
        <v>79</v>
      </c>
      <c r="BD221" t="s">
        <v>79</v>
      </c>
      <c r="BG221" t="s">
        <v>82</v>
      </c>
      <c r="BH221">
        <v>3</v>
      </c>
      <c r="BI221" t="s">
        <v>361</v>
      </c>
      <c r="BJ221" t="s">
        <v>1084</v>
      </c>
      <c r="BK221" t="str">
        <f>"GROUND FLOOR, SABLAN AFETNA PLAZA"</f>
        <v>GROUND FLOOR, SABLAN AFETNA PLAZA</v>
      </c>
      <c r="BL221" t="str">
        <f>"SAN ANTONIO"</f>
        <v>SAN ANTONIO</v>
      </c>
      <c r="BM221" t="str">
        <f>"SAIPAN"</f>
        <v>SAIPAN</v>
      </c>
      <c r="BO221" t="s">
        <v>83</v>
      </c>
      <c r="BP221" s="4" t="str">
        <f t="shared" si="152"/>
        <v>96950</v>
      </c>
      <c r="BQ221" t="s">
        <v>79</v>
      </c>
      <c r="BR221" t="str">
        <f>"49-9071.00"</f>
        <v>49-9071.00</v>
      </c>
      <c r="BS221" t="s">
        <v>146</v>
      </c>
      <c r="BT221" s="3">
        <v>9.19</v>
      </c>
      <c r="BU221" t="s">
        <v>80</v>
      </c>
      <c r="BV221" t="s">
        <v>90</v>
      </c>
      <c r="BW221" t="s">
        <v>92</v>
      </c>
      <c r="BZ221" s="1">
        <v>45107</v>
      </c>
    </row>
    <row r="222" spans="1:78" ht="15" customHeight="1" x14ac:dyDescent="0.25">
      <c r="A222" t="s">
        <v>1118</v>
      </c>
      <c r="B222" t="s">
        <v>94</v>
      </c>
      <c r="C222" s="1">
        <v>44854</v>
      </c>
      <c r="D222" s="1">
        <v>44897</v>
      </c>
      <c r="H222" t="s">
        <v>78</v>
      </c>
      <c r="I222" t="str">
        <f>"LIN"</f>
        <v>LIN</v>
      </c>
      <c r="J222" t="str">
        <f>"HSIA-LING"</f>
        <v>HSIA-LING</v>
      </c>
      <c r="K222" t="str">
        <f>"HUANG"</f>
        <v>HUANG</v>
      </c>
      <c r="L222" t="str">
        <f>"PRESIDENT"</f>
        <v>PRESIDENT</v>
      </c>
      <c r="M222" t="str">
        <f>"GROUND FLOOR, SABLAN AFETNA PLAZA"</f>
        <v>GROUND FLOOR, SABLAN AFETNA PLAZA</v>
      </c>
      <c r="N222" t="str">
        <f>"SAN ANTONIO"</f>
        <v>SAN ANTONIO</v>
      </c>
      <c r="O222" t="str">
        <f>"SAIPAN"</f>
        <v>SAIPAN</v>
      </c>
      <c r="P222" t="str">
        <f t="shared" si="147"/>
        <v>MP</v>
      </c>
      <c r="Q222" s="4" t="str">
        <f t="shared" si="148"/>
        <v>96950</v>
      </c>
      <c r="R222" t="str">
        <f t="shared" si="132"/>
        <v>UNITED STATES OF AMERICA</v>
      </c>
      <c r="S222" t="str">
        <f>""</f>
        <v/>
      </c>
      <c r="T222" s="5" t="str">
        <f>"16702357270"</f>
        <v>16702357270</v>
      </c>
      <c r="U222" t="str">
        <f>""</f>
        <v/>
      </c>
      <c r="V222" s="5" t="str">
        <f>""</f>
        <v/>
      </c>
      <c r="W222" t="str">
        <f>"penasapayd@gmail.com"</f>
        <v>penasapayd@gmail.com</v>
      </c>
      <c r="X222" t="str">
        <f>"PAM PACIFIC ENTERPRISES CORP."</f>
        <v>PAM PACIFIC ENTERPRISES CORP.</v>
      </c>
      <c r="Y222" t="str">
        <f>"PENA HOUSE BOUTIQUE AND SALON"</f>
        <v>PENA HOUSE BOUTIQUE AND SALON</v>
      </c>
      <c r="Z222" t="str">
        <f>"GROUND FLOOR, SABLAN AFETNA PLAZA"</f>
        <v>GROUND FLOOR, SABLAN AFETNA PLAZA</v>
      </c>
      <c r="AA222" t="str">
        <f>"SAN ANTONIO"</f>
        <v>SAN ANTONIO</v>
      </c>
      <c r="AB222" t="str">
        <f>"SAIPAN"</f>
        <v>SAIPAN</v>
      </c>
      <c r="AC222" t="str">
        <f t="shared" si="141"/>
        <v>MP</v>
      </c>
      <c r="AD222" t="str">
        <f t="shared" si="149"/>
        <v>96950</v>
      </c>
      <c r="AE222" t="str">
        <f t="shared" si="142"/>
        <v>UNITED STATES OF AMERICA</v>
      </c>
      <c r="AF222" t="str">
        <f>""</f>
        <v/>
      </c>
      <c r="AG222" s="4" t="str">
        <f>"16702357270"</f>
        <v>16702357270</v>
      </c>
      <c r="AH222" t="str">
        <f>""</f>
        <v/>
      </c>
      <c r="AI222" t="str">
        <f>"44812"</f>
        <v>44812</v>
      </c>
      <c r="AJ222" t="s">
        <v>79</v>
      </c>
      <c r="AK222" t="s">
        <v>79</v>
      </c>
      <c r="AL222" t="s">
        <v>80</v>
      </c>
      <c r="AM222" t="s">
        <v>79</v>
      </c>
      <c r="AP222" t="str">
        <f>"MAINTENANCE"</f>
        <v>MAINTENANCE</v>
      </c>
      <c r="AQ222" t="str">
        <f>"49-9071.00"</f>
        <v>49-9071.00</v>
      </c>
      <c r="AR222" t="str">
        <f>"Maintenance and Repair Workers, General"</f>
        <v>Maintenance and Repair Workers, General</v>
      </c>
      <c r="AS222" t="str">
        <f>"N/A"</f>
        <v>N/A</v>
      </c>
      <c r="AT222" t="s">
        <v>79</v>
      </c>
      <c r="AU222" t="str">
        <f>""</f>
        <v/>
      </c>
      <c r="AV222" t="str">
        <f>""</f>
        <v/>
      </c>
      <c r="AW222" t="s">
        <v>79</v>
      </c>
      <c r="AX222" t="str">
        <f>""</f>
        <v/>
      </c>
      <c r="AY222" t="s">
        <v>84</v>
      </c>
      <c r="BA222" t="s">
        <v>80</v>
      </c>
      <c r="BB222" t="s">
        <v>79</v>
      </c>
      <c r="BD222" t="s">
        <v>79</v>
      </c>
      <c r="BG222" t="s">
        <v>82</v>
      </c>
      <c r="BH222">
        <v>3</v>
      </c>
      <c r="BI222" t="s">
        <v>361</v>
      </c>
      <c r="BJ222" t="s">
        <v>1119</v>
      </c>
      <c r="BK222" t="str">
        <f>"GROUND FLOOR, SABLAN AFETNA PLAZA"</f>
        <v>GROUND FLOOR, SABLAN AFETNA PLAZA</v>
      </c>
      <c r="BL222" t="str">
        <f>"SAN ANTONIO"</f>
        <v>SAN ANTONIO</v>
      </c>
      <c r="BM222" t="str">
        <f>"SAIPAN"</f>
        <v>SAIPAN</v>
      </c>
      <c r="BO222" t="s">
        <v>83</v>
      </c>
      <c r="BP222" s="4" t="str">
        <f t="shared" si="152"/>
        <v>96950</v>
      </c>
      <c r="BQ222" t="s">
        <v>79</v>
      </c>
      <c r="BR222" t="str">
        <f>"49-9071.00"</f>
        <v>49-9071.00</v>
      </c>
      <c r="BS222" t="s">
        <v>146</v>
      </c>
      <c r="BT222" s="3">
        <v>9.19</v>
      </c>
      <c r="BU222" t="s">
        <v>80</v>
      </c>
      <c r="BV222" t="s">
        <v>90</v>
      </c>
      <c r="BW222" t="s">
        <v>92</v>
      </c>
      <c r="BZ222" s="1">
        <v>45107</v>
      </c>
    </row>
    <row r="223" spans="1:78" ht="15" customHeight="1" x14ac:dyDescent="0.25">
      <c r="A223" t="s">
        <v>1102</v>
      </c>
      <c r="B223" t="s">
        <v>94</v>
      </c>
      <c r="C223" s="1">
        <v>44854</v>
      </c>
      <c r="D223" s="1">
        <v>44896</v>
      </c>
      <c r="H223" t="s">
        <v>78</v>
      </c>
      <c r="I223" t="str">
        <f>"MACALINAO"</f>
        <v>MACALINAO</v>
      </c>
      <c r="J223" t="str">
        <f>"CENDY"</f>
        <v>CENDY</v>
      </c>
      <c r="K223" t="str">
        <f>"ATRERO"</f>
        <v>ATRERO</v>
      </c>
      <c r="L223" t="str">
        <f>"ADMINISTRATIVE ASSISTANT"</f>
        <v>ADMINISTRATIVE ASSISTANT</v>
      </c>
      <c r="M223" t="str">
        <f>"P O BOX 500703"</f>
        <v>P O BOX 500703</v>
      </c>
      <c r="N223" t="str">
        <f>"UFA ST LOWER BASE"</f>
        <v>UFA ST LOWER BASE</v>
      </c>
      <c r="O223" t="str">
        <f>"SAIPAN"</f>
        <v>SAIPAN</v>
      </c>
      <c r="P223" t="str">
        <f t="shared" si="147"/>
        <v>MP</v>
      </c>
      <c r="Q223" s="4" t="str">
        <f t="shared" si="148"/>
        <v>96950</v>
      </c>
      <c r="R223" t="str">
        <f t="shared" si="132"/>
        <v>UNITED STATES OF AMERICA</v>
      </c>
      <c r="S223" t="str">
        <f>"N/A"</f>
        <v>N/A</v>
      </c>
      <c r="T223" s="5" t="str">
        <f>"13227461"</f>
        <v>13227461</v>
      </c>
      <c r="U223" t="str">
        <f>""</f>
        <v/>
      </c>
      <c r="V223" s="5" t="str">
        <f>""</f>
        <v/>
      </c>
      <c r="W223" t="str">
        <f>"unitytradeservice@yahoo.com"</f>
        <v>unitytradeservice@yahoo.com</v>
      </c>
      <c r="X223" t="str">
        <f>"UNITY TRADE SERVICES INC"</f>
        <v>UNITY TRADE SERVICES INC</v>
      </c>
      <c r="Y223" t="str">
        <f>"METAL WORKS, REFILLING INDUSTRIAL GASES &amp; FIRE EXTINGUISHER ETC"</f>
        <v>METAL WORKS, REFILLING INDUSTRIAL GASES &amp; FIRE EXTINGUISHER ETC</v>
      </c>
      <c r="Z223" t="str">
        <f>"P O BOX 500703"</f>
        <v>P O BOX 500703</v>
      </c>
      <c r="AA223" t="str">
        <f>"UFA ST LOWER BASE"</f>
        <v>UFA ST LOWER BASE</v>
      </c>
      <c r="AB223" t="str">
        <f>"SAIPAN"</f>
        <v>SAIPAN</v>
      </c>
      <c r="AC223" t="str">
        <f t="shared" si="141"/>
        <v>MP</v>
      </c>
      <c r="AD223" t="str">
        <f t="shared" si="149"/>
        <v>96950</v>
      </c>
      <c r="AE223" t="str">
        <f t="shared" si="142"/>
        <v>UNITED STATES OF AMERICA</v>
      </c>
      <c r="AF223" t="str">
        <f>"N/A"</f>
        <v>N/A</v>
      </c>
      <c r="AG223" s="4" t="str">
        <f>"13227461"</f>
        <v>13227461</v>
      </c>
      <c r="AH223" t="str">
        <f>""</f>
        <v/>
      </c>
      <c r="AI223" t="str">
        <f>"236220"</f>
        <v>236220</v>
      </c>
      <c r="AJ223" t="s">
        <v>79</v>
      </c>
      <c r="AK223" t="s">
        <v>79</v>
      </c>
      <c r="AL223" t="s">
        <v>80</v>
      </c>
      <c r="AM223" t="s">
        <v>79</v>
      </c>
      <c r="AP223" t="str">
        <f>"PACKAGING AND FILLING MACHINE OPERATORS &amp; TENDERS"</f>
        <v>PACKAGING AND FILLING MACHINE OPERATORS &amp; TENDERS</v>
      </c>
      <c r="AQ223" t="str">
        <f>"51-9111.00"</f>
        <v>51-9111.00</v>
      </c>
      <c r="AR223" t="str">
        <f>"Packaging and Filling Machine Operators and Tenders"</f>
        <v>Packaging and Filling Machine Operators and Tenders</v>
      </c>
      <c r="AS223" t="str">
        <f>"MANAGER"</f>
        <v>MANAGER</v>
      </c>
      <c r="AT223" t="s">
        <v>82</v>
      </c>
      <c r="AU223" t="str">
        <f>"2"</f>
        <v>2</v>
      </c>
      <c r="AV223" t="str">
        <f>"Peer"</f>
        <v>Peer</v>
      </c>
      <c r="AW223" t="s">
        <v>79</v>
      </c>
      <c r="AX223" t="str">
        <f>""</f>
        <v/>
      </c>
      <c r="AY223" t="s">
        <v>84</v>
      </c>
      <c r="BA223" t="s">
        <v>115</v>
      </c>
      <c r="BB223" t="s">
        <v>79</v>
      </c>
      <c r="BD223" t="s">
        <v>79</v>
      </c>
      <c r="BG223" t="s">
        <v>82</v>
      </c>
      <c r="BH223">
        <v>12</v>
      </c>
      <c r="BI223" t="s">
        <v>161</v>
      </c>
      <c r="BJ223" t="s">
        <v>1103</v>
      </c>
      <c r="BK223" t="str">
        <f>"UFA STRET LOWER BASE"</f>
        <v>UFA STRET LOWER BASE</v>
      </c>
      <c r="BL223" t="str">
        <f>"LOWER BASE"</f>
        <v>LOWER BASE</v>
      </c>
      <c r="BM223" t="str">
        <f>"SAIPAN"</f>
        <v>SAIPAN</v>
      </c>
      <c r="BO223" t="s">
        <v>83</v>
      </c>
      <c r="BP223" s="4" t="str">
        <f t="shared" si="152"/>
        <v>96950</v>
      </c>
      <c r="BQ223" t="s">
        <v>79</v>
      </c>
      <c r="BR223" t="str">
        <f>"51-9111.00"</f>
        <v>51-9111.00</v>
      </c>
      <c r="BS223" t="s">
        <v>1104</v>
      </c>
      <c r="BT223" s="3">
        <v>10.45</v>
      </c>
      <c r="BU223" t="s">
        <v>80</v>
      </c>
      <c r="BV223" t="s">
        <v>90</v>
      </c>
      <c r="BW223" t="s">
        <v>92</v>
      </c>
      <c r="BZ223" s="1">
        <v>45107</v>
      </c>
    </row>
    <row r="224" spans="1:78" ht="15" customHeight="1" x14ac:dyDescent="0.25">
      <c r="A224" t="s">
        <v>1109</v>
      </c>
      <c r="B224" t="s">
        <v>94</v>
      </c>
      <c r="C224" s="1">
        <v>44854</v>
      </c>
      <c r="D224" s="1">
        <v>44896</v>
      </c>
      <c r="H224" t="s">
        <v>78</v>
      </c>
      <c r="I224" t="str">
        <f>"SHEU"</f>
        <v>SHEU</v>
      </c>
      <c r="J224" t="str">
        <f>"MICHAEL"</f>
        <v>MICHAEL</v>
      </c>
      <c r="K224" t="str">
        <f>"UNPINGCO"</f>
        <v>UNPINGCO</v>
      </c>
      <c r="L224" t="str">
        <f>"PRESIDENT"</f>
        <v>PRESIDENT</v>
      </c>
      <c r="M224" t="str">
        <f>"3786 AFETNAS ROAD SAN ANTONIO"</f>
        <v>3786 AFETNAS ROAD SAN ANTONIO</v>
      </c>
      <c r="N224" t="str">
        <f>""</f>
        <v/>
      </c>
      <c r="O224" t="str">
        <f>"SAIPAN"</f>
        <v>SAIPAN</v>
      </c>
      <c r="P224" t="str">
        <f t="shared" si="147"/>
        <v>MP</v>
      </c>
      <c r="Q224" s="4" t="str">
        <f t="shared" si="148"/>
        <v>96950</v>
      </c>
      <c r="R224" t="str">
        <f t="shared" si="132"/>
        <v>UNITED STATES OF AMERICA</v>
      </c>
      <c r="S224" t="str">
        <f>""</f>
        <v/>
      </c>
      <c r="T224" s="5" t="str">
        <f>"16702358748"</f>
        <v>16702358748</v>
      </c>
      <c r="U224" t="str">
        <f>""</f>
        <v/>
      </c>
      <c r="V224" s="5" t="str">
        <f>""</f>
        <v/>
      </c>
      <c r="W224" t="str">
        <f>"hongye-mei@hotmail.com"</f>
        <v>hongye-mei@hotmail.com</v>
      </c>
      <c r="X224" t="str">
        <f>"HONG YE RENTAL &amp; CONSTRUCTION LTD"</f>
        <v>HONG YE RENTAL &amp; CONSTRUCTION LTD</v>
      </c>
      <c r="Y224" t="str">
        <f>""</f>
        <v/>
      </c>
      <c r="Z224" t="str">
        <f>"3786 AFETNAS ROAD SAN ANTONIO"</f>
        <v>3786 AFETNAS ROAD SAN ANTONIO</v>
      </c>
      <c r="AA224" t="str">
        <f>""</f>
        <v/>
      </c>
      <c r="AB224" t="str">
        <f>"SAIPAN"</f>
        <v>SAIPAN</v>
      </c>
      <c r="AC224" t="str">
        <f t="shared" si="141"/>
        <v>MP</v>
      </c>
      <c r="AD224" t="str">
        <f t="shared" si="149"/>
        <v>96950</v>
      </c>
      <c r="AE224" t="str">
        <f t="shared" si="142"/>
        <v>UNITED STATES OF AMERICA</v>
      </c>
      <c r="AF224" t="str">
        <f>""</f>
        <v/>
      </c>
      <c r="AG224" s="4" t="str">
        <f>"16702358748"</f>
        <v>16702358748</v>
      </c>
      <c r="AH224" t="str">
        <f>""</f>
        <v/>
      </c>
      <c r="AI224" t="str">
        <f>"2362"</f>
        <v>2362</v>
      </c>
      <c r="AJ224" t="s">
        <v>79</v>
      </c>
      <c r="AK224" t="s">
        <v>79</v>
      </c>
      <c r="AL224" t="s">
        <v>80</v>
      </c>
      <c r="AM224" t="s">
        <v>79</v>
      </c>
      <c r="AP224" t="str">
        <f>"WAREHOUSE SUPERVISOR"</f>
        <v>WAREHOUSE SUPERVISOR</v>
      </c>
      <c r="AQ224" t="str">
        <f>"53-1042.00"</f>
        <v>53-1042.00</v>
      </c>
      <c r="AR224" t="str">
        <f>"First-Line Supervisors of Helpers, Laborers, and Material Movers, Hand"</f>
        <v>First-Line Supervisors of Helpers, Laborers, and Material Movers, Hand</v>
      </c>
      <c r="AS224" t="str">
        <f>"MANAGER"</f>
        <v>MANAGER</v>
      </c>
      <c r="AT224" t="s">
        <v>82</v>
      </c>
      <c r="AU224" t="str">
        <f>"5"</f>
        <v>5</v>
      </c>
      <c r="AV224" t="str">
        <f>"Subordinate"</f>
        <v>Subordinate</v>
      </c>
      <c r="AW224" t="s">
        <v>79</v>
      </c>
      <c r="AX224" t="str">
        <f>""</f>
        <v/>
      </c>
      <c r="AY224" t="s">
        <v>84</v>
      </c>
      <c r="BA224" t="s">
        <v>80</v>
      </c>
      <c r="BB224" t="s">
        <v>79</v>
      </c>
      <c r="BD224" t="s">
        <v>79</v>
      </c>
      <c r="BG224" t="s">
        <v>82</v>
      </c>
      <c r="BH224">
        <v>12</v>
      </c>
      <c r="BI224" t="s">
        <v>1110</v>
      </c>
      <c r="BJ224" t="s">
        <v>115</v>
      </c>
      <c r="BK224" t="str">
        <f>"3786 AFETNAS ROAD SAN ANTONIO"</f>
        <v>3786 AFETNAS ROAD SAN ANTONIO</v>
      </c>
      <c r="BL224" t="str">
        <f>""</f>
        <v/>
      </c>
      <c r="BM224" t="str">
        <f>"SAIPAN"</f>
        <v>SAIPAN</v>
      </c>
      <c r="BO224" t="s">
        <v>83</v>
      </c>
      <c r="BP224" s="4" t="str">
        <f t="shared" si="152"/>
        <v>96950</v>
      </c>
      <c r="BQ224" t="s">
        <v>79</v>
      </c>
      <c r="BR224" t="str">
        <f>"53-1042.00"</f>
        <v>53-1042.00</v>
      </c>
      <c r="BS224" t="s">
        <v>918</v>
      </c>
      <c r="BT224" s="3">
        <v>14.34</v>
      </c>
      <c r="BU224" t="s">
        <v>80</v>
      </c>
      <c r="BV224" t="s">
        <v>90</v>
      </c>
      <c r="BW224" t="s">
        <v>92</v>
      </c>
      <c r="BZ224" s="1">
        <v>45107</v>
      </c>
    </row>
    <row r="225" spans="1:78" ht="15" customHeight="1" x14ac:dyDescent="0.25">
      <c r="A225" t="s">
        <v>1111</v>
      </c>
      <c r="B225" t="s">
        <v>94</v>
      </c>
      <c r="C225" s="1">
        <v>44854</v>
      </c>
      <c r="D225" s="1">
        <v>44896</v>
      </c>
      <c r="H225" t="s">
        <v>78</v>
      </c>
      <c r="I225" t="str">
        <f>"LEE"</f>
        <v>LEE</v>
      </c>
      <c r="J225" t="str">
        <f>"HYO JUNG"</f>
        <v>HYO JUNG</v>
      </c>
      <c r="K225" t="str">
        <f>""</f>
        <v/>
      </c>
      <c r="L225" t="str">
        <f>"VICE-PRESIDENT"</f>
        <v>VICE-PRESIDENT</v>
      </c>
      <c r="M225" t="str">
        <f>"P.O. BOX 237"</f>
        <v>P.O. BOX 237</v>
      </c>
      <c r="N225" t="str">
        <f>""</f>
        <v/>
      </c>
      <c r="O225" t="str">
        <f>"TINIAN"</f>
        <v>TINIAN</v>
      </c>
      <c r="P225" t="str">
        <f t="shared" si="147"/>
        <v>MP</v>
      </c>
      <c r="Q225" s="4" t="str">
        <f>"96952"</f>
        <v>96952</v>
      </c>
      <c r="R225" t="str">
        <f t="shared" si="132"/>
        <v>UNITED STATES OF AMERICA</v>
      </c>
      <c r="S225" t="str">
        <f>""</f>
        <v/>
      </c>
      <c r="T225" s="5" t="str">
        <f>"16702878961"</f>
        <v>16702878961</v>
      </c>
      <c r="U225" t="str">
        <f>""</f>
        <v/>
      </c>
      <c r="V225" s="5" t="str">
        <f>""</f>
        <v/>
      </c>
      <c r="W225" t="str">
        <f>"cho_jinjoocorp@yahoo.com"</f>
        <v>cho_jinjoocorp@yahoo.com</v>
      </c>
      <c r="X225" t="str">
        <f>"H J 2 CORPORATION"</f>
        <v>H J 2 CORPORATION</v>
      </c>
      <c r="Y225" t="str">
        <f>"GOOD TOUR"</f>
        <v>GOOD TOUR</v>
      </c>
      <c r="Z225" t="str">
        <f>"P.O. BOX 237"</f>
        <v>P.O. BOX 237</v>
      </c>
      <c r="AA225" t="str">
        <f>""</f>
        <v/>
      </c>
      <c r="AB225" t="str">
        <f>"TINIAN"</f>
        <v>TINIAN</v>
      </c>
      <c r="AC225" t="str">
        <f t="shared" si="141"/>
        <v>MP</v>
      </c>
      <c r="AD225" t="str">
        <f>"96952"</f>
        <v>96952</v>
      </c>
      <c r="AE225" t="str">
        <f t="shared" si="142"/>
        <v>UNITED STATES OF AMERICA</v>
      </c>
      <c r="AF225" t="str">
        <f>""</f>
        <v/>
      </c>
      <c r="AG225" s="4" t="str">
        <f>"16702878961"</f>
        <v>16702878961</v>
      </c>
      <c r="AH225" t="str">
        <f>""</f>
        <v/>
      </c>
      <c r="AI225" t="str">
        <f>"56152"</f>
        <v>56152</v>
      </c>
      <c r="AJ225" t="s">
        <v>79</v>
      </c>
      <c r="AK225" t="s">
        <v>79</v>
      </c>
      <c r="AL225" t="s">
        <v>80</v>
      </c>
      <c r="AM225" t="s">
        <v>79</v>
      </c>
      <c r="AP225" t="str">
        <f>"TOUR MANAGER"</f>
        <v>TOUR MANAGER</v>
      </c>
      <c r="AQ225" t="str">
        <f>"39-7012.00"</f>
        <v>39-7012.00</v>
      </c>
      <c r="AR225" t="str">
        <f>"Travel Guides"</f>
        <v>Travel Guides</v>
      </c>
      <c r="AS225" t="str">
        <f>""</f>
        <v/>
      </c>
      <c r="AT225" t="s">
        <v>82</v>
      </c>
      <c r="AU225" t="str">
        <f>"2"</f>
        <v>2</v>
      </c>
      <c r="AV225" t="str">
        <f>"Subordinate"</f>
        <v>Subordinate</v>
      </c>
      <c r="AW225" t="s">
        <v>79</v>
      </c>
      <c r="AX225" t="str">
        <f>""</f>
        <v/>
      </c>
      <c r="AY225" t="s">
        <v>84</v>
      </c>
      <c r="BA225" t="s">
        <v>80</v>
      </c>
      <c r="BB225" t="s">
        <v>79</v>
      </c>
      <c r="BD225" t="s">
        <v>79</v>
      </c>
      <c r="BG225" t="s">
        <v>82</v>
      </c>
      <c r="BH225">
        <v>12</v>
      </c>
      <c r="BI225" t="s">
        <v>1112</v>
      </c>
      <c r="BJ225" t="s">
        <v>1113</v>
      </c>
      <c r="BK225" t="str">
        <f>"8TH AVENUE, SAN JOSE"</f>
        <v>8TH AVENUE, SAN JOSE</v>
      </c>
      <c r="BL225" t="str">
        <f>""</f>
        <v/>
      </c>
      <c r="BM225" t="str">
        <f>"TINIAN"</f>
        <v>TINIAN</v>
      </c>
      <c r="BO225" t="s">
        <v>83</v>
      </c>
      <c r="BP225" s="4" t="str">
        <f>"96952"</f>
        <v>96952</v>
      </c>
      <c r="BQ225" t="s">
        <v>79</v>
      </c>
      <c r="BR225" t="str">
        <f>"39-7012.00"</f>
        <v>39-7012.00</v>
      </c>
      <c r="BS225" t="s">
        <v>832</v>
      </c>
      <c r="BT225" s="3">
        <v>10.85</v>
      </c>
      <c r="BU225" t="s">
        <v>80</v>
      </c>
      <c r="BV225" t="s">
        <v>90</v>
      </c>
      <c r="BW225" t="s">
        <v>265</v>
      </c>
      <c r="BZ225" s="1">
        <v>45107</v>
      </c>
    </row>
    <row r="226" spans="1:78" ht="15" customHeight="1" x14ac:dyDescent="0.25">
      <c r="A226" t="s">
        <v>1114</v>
      </c>
      <c r="B226" t="s">
        <v>94</v>
      </c>
      <c r="C226" s="1">
        <v>44854</v>
      </c>
      <c r="D226" s="1">
        <v>44896</v>
      </c>
      <c r="H226" t="s">
        <v>78</v>
      </c>
      <c r="I226" t="str">
        <f>"SHEU"</f>
        <v>SHEU</v>
      </c>
      <c r="J226" t="str">
        <f>"MICHAEL"</f>
        <v>MICHAEL</v>
      </c>
      <c r="K226" t="str">
        <f>"UNPINGCO"</f>
        <v>UNPINGCO</v>
      </c>
      <c r="L226" t="str">
        <f>"PRESIDENT"</f>
        <v>PRESIDENT</v>
      </c>
      <c r="M226" t="str">
        <f>"3786 AFETNAS ROAD SAN ANTONIO"</f>
        <v>3786 AFETNAS ROAD SAN ANTONIO</v>
      </c>
      <c r="N226" t="str">
        <f>""</f>
        <v/>
      </c>
      <c r="O226" t="str">
        <f>"SAIPAN"</f>
        <v>SAIPAN</v>
      </c>
      <c r="P226" t="str">
        <f t="shared" si="147"/>
        <v>MP</v>
      </c>
      <c r="Q226" s="4" t="str">
        <f t="shared" ref="Q226:Q232" si="153">"96950"</f>
        <v>96950</v>
      </c>
      <c r="R226" t="str">
        <f t="shared" si="132"/>
        <v>UNITED STATES OF AMERICA</v>
      </c>
      <c r="S226" t="str">
        <f>""</f>
        <v/>
      </c>
      <c r="T226" s="5" t="str">
        <f>"16702358748"</f>
        <v>16702358748</v>
      </c>
      <c r="U226" t="str">
        <f>""</f>
        <v/>
      </c>
      <c r="V226" s="5" t="str">
        <f>""</f>
        <v/>
      </c>
      <c r="W226" t="str">
        <f>"hongye-mei@hotmail.com"</f>
        <v>hongye-mei@hotmail.com</v>
      </c>
      <c r="X226" t="str">
        <f>"HONG YE RENTAL &amp; CONSTRUCTION LTD"</f>
        <v>HONG YE RENTAL &amp; CONSTRUCTION LTD</v>
      </c>
      <c r="Y226" t="str">
        <f>""</f>
        <v/>
      </c>
      <c r="Z226" t="str">
        <f>"3786 AFETNAS ROAD SAN ANTONIO"</f>
        <v>3786 AFETNAS ROAD SAN ANTONIO</v>
      </c>
      <c r="AA226" t="str">
        <f>""</f>
        <v/>
      </c>
      <c r="AB226" t="str">
        <f>"SAIPAN"</f>
        <v>SAIPAN</v>
      </c>
      <c r="AC226" t="str">
        <f t="shared" si="141"/>
        <v>MP</v>
      </c>
      <c r="AD226" t="str">
        <f t="shared" ref="AD226:AD232" si="154">"96950"</f>
        <v>96950</v>
      </c>
      <c r="AE226" t="str">
        <f t="shared" si="142"/>
        <v>UNITED STATES OF AMERICA</v>
      </c>
      <c r="AF226" t="str">
        <f>""</f>
        <v/>
      </c>
      <c r="AG226" s="4" t="str">
        <f>"16702358748"</f>
        <v>16702358748</v>
      </c>
      <c r="AH226" t="str">
        <f>""</f>
        <v/>
      </c>
      <c r="AI226" t="str">
        <f>"561311"</f>
        <v>561311</v>
      </c>
      <c r="AJ226" t="s">
        <v>79</v>
      </c>
      <c r="AK226" t="s">
        <v>79</v>
      </c>
      <c r="AL226" t="s">
        <v>80</v>
      </c>
      <c r="AM226" t="s">
        <v>79</v>
      </c>
      <c r="AP226" t="str">
        <f>"HOTEL MANAGER"</f>
        <v>HOTEL MANAGER</v>
      </c>
      <c r="AQ226" t="str">
        <f>"11-9081.00"</f>
        <v>11-9081.00</v>
      </c>
      <c r="AR226" t="str">
        <f>"Lodging Managers"</f>
        <v>Lodging Managers</v>
      </c>
      <c r="AS226" t="str">
        <f>"GENERAL MANAGER"</f>
        <v>GENERAL MANAGER</v>
      </c>
      <c r="AT226" t="s">
        <v>82</v>
      </c>
      <c r="AU226" t="str">
        <f>"10"</f>
        <v>10</v>
      </c>
      <c r="AV226" t="str">
        <f>"Subordinate"</f>
        <v>Subordinate</v>
      </c>
      <c r="AW226" t="s">
        <v>79</v>
      </c>
      <c r="AX226" t="str">
        <f>""</f>
        <v/>
      </c>
      <c r="AY226" t="s">
        <v>95</v>
      </c>
      <c r="BA226" t="s">
        <v>1115</v>
      </c>
      <c r="BB226" t="s">
        <v>79</v>
      </c>
      <c r="BD226" t="s">
        <v>79</v>
      </c>
      <c r="BG226" t="s">
        <v>82</v>
      </c>
      <c r="BH226">
        <v>24</v>
      </c>
      <c r="BI226" t="s">
        <v>1116</v>
      </c>
      <c r="BJ226" t="s">
        <v>115</v>
      </c>
      <c r="BK226" t="str">
        <f>"3786 AFETNAS ROAD SAN ANTONIO"</f>
        <v>3786 AFETNAS ROAD SAN ANTONIO</v>
      </c>
      <c r="BL226" t="str">
        <f>""</f>
        <v/>
      </c>
      <c r="BM226" t="str">
        <f>"SAIPAN"</f>
        <v>SAIPAN</v>
      </c>
      <c r="BO226" t="s">
        <v>83</v>
      </c>
      <c r="BP226" s="4" t="str">
        <f t="shared" ref="BP226:BP232" si="155">"96950"</f>
        <v>96950</v>
      </c>
      <c r="BQ226" t="s">
        <v>79</v>
      </c>
      <c r="BR226" t="str">
        <f>"11-9081.00"</f>
        <v>11-9081.00</v>
      </c>
      <c r="BS226" t="s">
        <v>1117</v>
      </c>
      <c r="BT226" s="3">
        <v>18.38</v>
      </c>
      <c r="BU226" t="s">
        <v>80</v>
      </c>
      <c r="BV226" t="s">
        <v>90</v>
      </c>
      <c r="BW226" t="s">
        <v>92</v>
      </c>
      <c r="BZ226" s="1">
        <v>45107</v>
      </c>
    </row>
    <row r="227" spans="1:78" ht="15" customHeight="1" x14ac:dyDescent="0.25">
      <c r="A227" t="s">
        <v>1079</v>
      </c>
      <c r="B227" t="s">
        <v>94</v>
      </c>
      <c r="C227" s="1">
        <v>44853</v>
      </c>
      <c r="D227" s="1">
        <v>44896</v>
      </c>
      <c r="H227" t="s">
        <v>78</v>
      </c>
      <c r="I227" t="str">
        <f>"Lam"</f>
        <v>Lam</v>
      </c>
      <c r="J227" t="str">
        <f>"Maxine"</f>
        <v>Maxine</v>
      </c>
      <c r="K227" t="str">
        <f>""</f>
        <v/>
      </c>
      <c r="L227" t="str">
        <f>"HR Manager"</f>
        <v>HR Manager</v>
      </c>
      <c r="M227" t="str">
        <f>"Insatto Street, Susupe PO Box 500137"</f>
        <v>Insatto Street, Susupe PO Box 500137</v>
      </c>
      <c r="N227" t="str">
        <f>"Insatto Street, Susupe PO Box 500137"</f>
        <v>Insatto Street, Susupe PO Box 500137</v>
      </c>
      <c r="O227" t="str">
        <f>"Saipan"</f>
        <v>Saipan</v>
      </c>
      <c r="P227" t="str">
        <f t="shared" si="147"/>
        <v>MP</v>
      </c>
      <c r="Q227" s="4" t="str">
        <f t="shared" si="153"/>
        <v>96950</v>
      </c>
      <c r="R227" t="str">
        <f t="shared" si="132"/>
        <v>UNITED STATES OF AMERICA</v>
      </c>
      <c r="S227" t="str">
        <f>""</f>
        <v/>
      </c>
      <c r="T227" s="5" t="str">
        <f>"16702346445"</f>
        <v>16702346445</v>
      </c>
      <c r="U227" t="str">
        <f>"2263"</f>
        <v>2263</v>
      </c>
      <c r="V227" s="5" t="str">
        <f>""</f>
        <v/>
      </c>
      <c r="W227" t="str">
        <f>"hrd@joeten.com"</f>
        <v>hrd@joeten.com</v>
      </c>
      <c r="X227" t="str">
        <f>"J C Tenorio Enterprises, Inc"</f>
        <v>J C Tenorio Enterprises, Inc</v>
      </c>
      <c r="Y227" t="str">
        <f>""</f>
        <v/>
      </c>
      <c r="Z227" t="str">
        <f>"Insatto Street, Susupe PO Box 500137"</f>
        <v>Insatto Street, Susupe PO Box 500137</v>
      </c>
      <c r="AA227" t="str">
        <f>"Insatto Street, Susupe PO Box 500137"</f>
        <v>Insatto Street, Susupe PO Box 500137</v>
      </c>
      <c r="AB227" t="str">
        <f>"Saipan"</f>
        <v>Saipan</v>
      </c>
      <c r="AC227" t="str">
        <f t="shared" si="141"/>
        <v>MP</v>
      </c>
      <c r="AD227" t="str">
        <f t="shared" si="154"/>
        <v>96950</v>
      </c>
      <c r="AE227" t="str">
        <f t="shared" si="142"/>
        <v>UNITED STATES OF AMERICA</v>
      </c>
      <c r="AF227" t="str">
        <f>""</f>
        <v/>
      </c>
      <c r="AG227" s="4" t="str">
        <f>"16702346445"</f>
        <v>16702346445</v>
      </c>
      <c r="AH227" t="str">
        <f>"2263"</f>
        <v>2263</v>
      </c>
      <c r="AI227" t="str">
        <f>"445110"</f>
        <v>445110</v>
      </c>
      <c r="AJ227" t="s">
        <v>79</v>
      </c>
      <c r="AK227" t="s">
        <v>79</v>
      </c>
      <c r="AL227" t="s">
        <v>80</v>
      </c>
      <c r="AM227" t="s">
        <v>79</v>
      </c>
      <c r="AP227" t="str">
        <f>"Sales Representative"</f>
        <v>Sales Representative</v>
      </c>
      <c r="AQ227" t="str">
        <f>"41-4012.00"</f>
        <v>41-4012.00</v>
      </c>
      <c r="AR227" t="str">
        <f>"Sales Representatives, Wholesale and Manufacturing, Except Technical and Scientific Products"</f>
        <v>Sales Representatives, Wholesale and Manufacturing, Except Technical and Scientific Products</v>
      </c>
      <c r="AS227" t="str">
        <f>"Manager"</f>
        <v>Manager</v>
      </c>
      <c r="AT227" t="s">
        <v>79</v>
      </c>
      <c r="AU227" t="str">
        <f>""</f>
        <v/>
      </c>
      <c r="AV227" t="str">
        <f>""</f>
        <v/>
      </c>
      <c r="AW227" t="s">
        <v>79</v>
      </c>
      <c r="AX227" t="str">
        <f>""</f>
        <v/>
      </c>
      <c r="AY227" t="s">
        <v>84</v>
      </c>
      <c r="BA227" t="s">
        <v>80</v>
      </c>
      <c r="BB227" t="s">
        <v>79</v>
      </c>
      <c r="BD227" t="s">
        <v>79</v>
      </c>
      <c r="BG227" t="s">
        <v>82</v>
      </c>
      <c r="BH227">
        <v>6</v>
      </c>
      <c r="BI227" t="s">
        <v>1056</v>
      </c>
      <c r="BJ227" s="2" t="s">
        <v>1080</v>
      </c>
      <c r="BK227" t="str">
        <f>"Insatto Street, Susupe PO Box 500137"</f>
        <v>Insatto Street, Susupe PO Box 500137</v>
      </c>
      <c r="BL227" t="str">
        <f>"Insatto Street, Susupe PO Box 500137"</f>
        <v>Insatto Street, Susupe PO Box 500137</v>
      </c>
      <c r="BM227" t="str">
        <f>"Saipan"</f>
        <v>Saipan</v>
      </c>
      <c r="BO227" t="s">
        <v>83</v>
      </c>
      <c r="BP227" s="4" t="str">
        <f t="shared" si="155"/>
        <v>96950</v>
      </c>
      <c r="BQ227" t="s">
        <v>79</v>
      </c>
      <c r="BR227" t="str">
        <f>"41-4012.00"</f>
        <v>41-4012.00</v>
      </c>
      <c r="BS227" t="s">
        <v>474</v>
      </c>
      <c r="BT227" s="3">
        <v>8.81</v>
      </c>
      <c r="BU227" t="s">
        <v>80</v>
      </c>
      <c r="BV227" t="s">
        <v>90</v>
      </c>
      <c r="BW227" t="s">
        <v>92</v>
      </c>
      <c r="BZ227" s="1">
        <v>45107</v>
      </c>
    </row>
    <row r="228" spans="1:78" ht="15" customHeight="1" x14ac:dyDescent="0.25">
      <c r="A228" t="s">
        <v>1054</v>
      </c>
      <c r="B228" t="s">
        <v>94</v>
      </c>
      <c r="C228" s="1">
        <v>44852</v>
      </c>
      <c r="D228" s="1">
        <v>44896</v>
      </c>
      <c r="H228" t="s">
        <v>78</v>
      </c>
      <c r="I228" t="str">
        <f>"Avendano"</f>
        <v>Avendano</v>
      </c>
      <c r="J228" t="str">
        <f>"Fidelisa"</f>
        <v>Fidelisa</v>
      </c>
      <c r="K228" t="str">
        <f>"Cal"</f>
        <v>Cal</v>
      </c>
      <c r="L228" t="str">
        <f>"Authorized Representative"</f>
        <v>Authorized Representative</v>
      </c>
      <c r="M228" t="str">
        <f>"Chalan Pale Arnold, Chalan Lau Lau"</f>
        <v>Chalan Pale Arnold, Chalan Lau Lau</v>
      </c>
      <c r="N228" t="str">
        <f>"P.O. Box 503024"</f>
        <v>P.O. Box 503024</v>
      </c>
      <c r="O228" t="str">
        <f>"Saipan"</f>
        <v>Saipan</v>
      </c>
      <c r="P228" t="str">
        <f t="shared" si="147"/>
        <v>MP</v>
      </c>
      <c r="Q228" s="4" t="str">
        <f t="shared" si="153"/>
        <v>96950</v>
      </c>
      <c r="R228" t="str">
        <f t="shared" si="132"/>
        <v>UNITED STATES OF AMERICA</v>
      </c>
      <c r="S228" t="str">
        <f>"N/A"</f>
        <v>N/A</v>
      </c>
      <c r="T228" s="5" t="str">
        <f>"16702346278"</f>
        <v>16702346278</v>
      </c>
      <c r="U228" t="str">
        <f>""</f>
        <v/>
      </c>
      <c r="V228" s="5" t="str">
        <f>""</f>
        <v/>
      </c>
      <c r="W228" t="str">
        <f>"cnmicw12019@gmail.com"</f>
        <v>cnmicw12019@gmail.com</v>
      </c>
      <c r="X228" t="str">
        <f>"JC Marketing, Inc. (Saipan)"</f>
        <v>JC Marketing, Inc. (Saipan)</v>
      </c>
      <c r="Y228" t="str">
        <f>""</f>
        <v/>
      </c>
      <c r="Z228" t="str">
        <f>"Chalan Pale Arnold, 2193 Laffet Place, Gualo Rai"</f>
        <v>Chalan Pale Arnold, 2193 Laffet Place, Gualo Rai</v>
      </c>
      <c r="AA228" t="str">
        <f>"PMB 874 Box 10001"</f>
        <v>PMB 874 Box 10001</v>
      </c>
      <c r="AB228" t="str">
        <f>"Saipan"</f>
        <v>Saipan</v>
      </c>
      <c r="AC228" t="str">
        <f t="shared" si="141"/>
        <v>MP</v>
      </c>
      <c r="AD228" t="str">
        <f t="shared" si="154"/>
        <v>96950</v>
      </c>
      <c r="AE228" t="str">
        <f t="shared" si="142"/>
        <v>UNITED STATES OF AMERICA</v>
      </c>
      <c r="AF228" t="str">
        <f>"N/A"</f>
        <v>N/A</v>
      </c>
      <c r="AG228" s="4" t="str">
        <f>"16702356335"</f>
        <v>16702356335</v>
      </c>
      <c r="AH228" t="str">
        <f>""</f>
        <v/>
      </c>
      <c r="AI228" t="str">
        <f>"42345"</f>
        <v>42345</v>
      </c>
      <c r="AJ228" t="s">
        <v>79</v>
      </c>
      <c r="AK228" t="s">
        <v>79</v>
      </c>
      <c r="AL228" t="s">
        <v>80</v>
      </c>
      <c r="AM228" t="s">
        <v>79</v>
      </c>
      <c r="AP228" t="str">
        <f>"Sales Representative"</f>
        <v>Sales Representative</v>
      </c>
      <c r="AQ228" t="str">
        <f>"41-4012.00"</f>
        <v>41-4012.00</v>
      </c>
      <c r="AR228" t="str">
        <f>"Sales Representatives, Wholesale and Manufacturing, Except Technical and Scientific Products"</f>
        <v>Sales Representatives, Wholesale and Manufacturing, Except Technical and Scientific Products</v>
      </c>
      <c r="AS228" t="str">
        <f>"General Manager"</f>
        <v>General Manager</v>
      </c>
      <c r="AT228" t="s">
        <v>79</v>
      </c>
      <c r="AU228" t="str">
        <f>""</f>
        <v/>
      </c>
      <c r="AV228" t="str">
        <f>""</f>
        <v/>
      </c>
      <c r="AW228" t="s">
        <v>79</v>
      </c>
      <c r="AX228" t="str">
        <f>""</f>
        <v/>
      </c>
      <c r="AY228" t="s">
        <v>95</v>
      </c>
      <c r="BA228" t="s">
        <v>1055</v>
      </c>
      <c r="BB228" t="s">
        <v>79</v>
      </c>
      <c r="BD228" t="s">
        <v>79</v>
      </c>
      <c r="BG228" t="s">
        <v>82</v>
      </c>
      <c r="BH228">
        <v>24</v>
      </c>
      <c r="BI228" t="s">
        <v>1056</v>
      </c>
      <c r="BJ228" s="2" t="s">
        <v>1057</v>
      </c>
      <c r="BK228" t="str">
        <f>"Chalan Pale Arnold, 2193 Laffet Place Gualo Rai"</f>
        <v>Chalan Pale Arnold, 2193 Laffet Place Gualo Rai</v>
      </c>
      <c r="BL228" t="str">
        <f>"N/A"</f>
        <v>N/A</v>
      </c>
      <c r="BM228" t="str">
        <f>"Saipan"</f>
        <v>Saipan</v>
      </c>
      <c r="BO228" t="s">
        <v>83</v>
      </c>
      <c r="BP228" s="4" t="str">
        <f t="shared" si="155"/>
        <v>96950</v>
      </c>
      <c r="BQ228" t="s">
        <v>79</v>
      </c>
      <c r="BR228" t="str">
        <f>"41-4012.00"</f>
        <v>41-4012.00</v>
      </c>
      <c r="BS228" t="s">
        <v>474</v>
      </c>
      <c r="BT228" s="3">
        <v>8.81</v>
      </c>
      <c r="BU228" t="s">
        <v>80</v>
      </c>
      <c r="BV228" t="s">
        <v>90</v>
      </c>
      <c r="BW228" t="s">
        <v>92</v>
      </c>
      <c r="BZ228" s="1">
        <v>45107</v>
      </c>
    </row>
    <row r="229" spans="1:78" ht="15" customHeight="1" x14ac:dyDescent="0.25">
      <c r="A229" t="s">
        <v>1059</v>
      </c>
      <c r="B229" t="s">
        <v>94</v>
      </c>
      <c r="C229" s="1">
        <v>44852</v>
      </c>
      <c r="D229" s="1">
        <v>44896</v>
      </c>
      <c r="H229" t="s">
        <v>78</v>
      </c>
      <c r="I229" t="str">
        <f>"XIE"</f>
        <v>XIE</v>
      </c>
      <c r="J229" t="str">
        <f>"YUANRUI"</f>
        <v>YUANRUI</v>
      </c>
      <c r="K229" t="str">
        <f>"N/A"</f>
        <v>N/A</v>
      </c>
      <c r="L229" t="str">
        <f>"Acting Office Representative"</f>
        <v>Acting Office Representative</v>
      </c>
      <c r="M229" t="str">
        <f>"Guangdong Building, Msgr. Martinez Road"</f>
        <v>Guangdong Building, Msgr. Martinez Road</v>
      </c>
      <c r="N229" t="str">
        <f>"P.O. BOX 501640, As Lito Village"</f>
        <v>P.O. BOX 501640, As Lito Village</v>
      </c>
      <c r="O229" t="str">
        <f>"Saipan"</f>
        <v>Saipan</v>
      </c>
      <c r="P229" t="str">
        <f t="shared" si="147"/>
        <v>MP</v>
      </c>
      <c r="Q229" s="4" t="str">
        <f t="shared" si="153"/>
        <v>96950</v>
      </c>
      <c r="R229" t="str">
        <f t="shared" si="132"/>
        <v>UNITED STATES OF AMERICA</v>
      </c>
      <c r="S229" t="str">
        <f>"N/A"</f>
        <v>N/A</v>
      </c>
      <c r="T229" s="5" t="str">
        <f>"16702882288"</f>
        <v>16702882288</v>
      </c>
      <c r="U229" t="str">
        <f>"106"</f>
        <v>106</v>
      </c>
      <c r="V229" s="5" t="str">
        <f>""</f>
        <v/>
      </c>
      <c r="W229" t="str">
        <f>"guangdong_hardware@163.com"</f>
        <v>guangdong_hardware@163.com</v>
      </c>
      <c r="X229" t="str">
        <f>"GUANGDONG DEVELOPMENT CO LTD"</f>
        <v>GUANGDONG DEVELOPMENT CO LTD</v>
      </c>
      <c r="Y229" t="str">
        <f>"GUANGDONG HARDWARE"</f>
        <v>GUANGDONG HARDWARE</v>
      </c>
      <c r="Z229" t="str">
        <f>"Guangdong Building, Msgr. Martinez Road"</f>
        <v>Guangdong Building, Msgr. Martinez Road</v>
      </c>
      <c r="AA229" t="str">
        <f>"P.O. BOX 501640, As Lito Village"</f>
        <v>P.O. BOX 501640, As Lito Village</v>
      </c>
      <c r="AB229" t="str">
        <f>"Saipan"</f>
        <v>Saipan</v>
      </c>
      <c r="AC229" t="str">
        <f t="shared" si="141"/>
        <v>MP</v>
      </c>
      <c r="AD229" t="str">
        <f t="shared" si="154"/>
        <v>96950</v>
      </c>
      <c r="AE229" t="str">
        <f t="shared" si="142"/>
        <v>UNITED STATES OF AMERICA</v>
      </c>
      <c r="AF229" t="str">
        <f>"N/A"</f>
        <v>N/A</v>
      </c>
      <c r="AG229" s="4" t="str">
        <f>"16702882288"</f>
        <v>16702882288</v>
      </c>
      <c r="AH229" t="str">
        <f>"106"</f>
        <v>106</v>
      </c>
      <c r="AI229" t="str">
        <f>"44413"</f>
        <v>44413</v>
      </c>
      <c r="AJ229" t="s">
        <v>79</v>
      </c>
      <c r="AK229" t="s">
        <v>79</v>
      </c>
      <c r="AL229" t="s">
        <v>80</v>
      </c>
      <c r="AM229" t="s">
        <v>79</v>
      </c>
      <c r="AP229" t="str">
        <f>"Office Service Representative"</f>
        <v>Office Service Representative</v>
      </c>
      <c r="AQ229" t="str">
        <f>"43-9061.00"</f>
        <v>43-9061.00</v>
      </c>
      <c r="AR229" t="str">
        <f>"Office Clerks, General"</f>
        <v>Office Clerks, General</v>
      </c>
      <c r="AS229" t="str">
        <f>"MANAGER"</f>
        <v>MANAGER</v>
      </c>
      <c r="AT229" t="s">
        <v>79</v>
      </c>
      <c r="AU229" t="str">
        <f>""</f>
        <v/>
      </c>
      <c r="AV229" t="str">
        <f>""</f>
        <v/>
      </c>
      <c r="AW229" t="s">
        <v>79</v>
      </c>
      <c r="AX229" t="str">
        <f>""</f>
        <v/>
      </c>
      <c r="AY229" t="s">
        <v>84</v>
      </c>
      <c r="BA229" t="s">
        <v>80</v>
      </c>
      <c r="BB229" t="s">
        <v>79</v>
      </c>
      <c r="BD229" t="s">
        <v>79</v>
      </c>
      <c r="BG229" t="s">
        <v>82</v>
      </c>
      <c r="BH229">
        <v>12</v>
      </c>
      <c r="BI229" t="s">
        <v>1060</v>
      </c>
      <c r="BJ229" t="s">
        <v>1061</v>
      </c>
      <c r="BK229" t="str">
        <f>"Guangdong Building, Msgr. Martinez Road"</f>
        <v>Guangdong Building, Msgr. Martinez Road</v>
      </c>
      <c r="BL229" t="str">
        <f>"P.O. BOX 501640, As Lito Village"</f>
        <v>P.O. BOX 501640, As Lito Village</v>
      </c>
      <c r="BM229" t="str">
        <f>"Saipan"</f>
        <v>Saipan</v>
      </c>
      <c r="BO229" t="s">
        <v>83</v>
      </c>
      <c r="BP229" s="4" t="str">
        <f t="shared" si="155"/>
        <v>96950</v>
      </c>
      <c r="BQ229" t="s">
        <v>79</v>
      </c>
      <c r="BR229" t="str">
        <f>"43-9061.00"</f>
        <v>43-9061.00</v>
      </c>
      <c r="BS229" t="s">
        <v>359</v>
      </c>
      <c r="BT229" s="3">
        <v>14.41</v>
      </c>
      <c r="BU229" t="s">
        <v>80</v>
      </c>
      <c r="BV229" t="s">
        <v>90</v>
      </c>
      <c r="BW229" t="s">
        <v>92</v>
      </c>
      <c r="BZ229" s="1">
        <v>45107</v>
      </c>
    </row>
    <row r="230" spans="1:78" ht="15" customHeight="1" x14ac:dyDescent="0.25">
      <c r="A230" t="s">
        <v>1064</v>
      </c>
      <c r="B230" t="s">
        <v>94</v>
      </c>
      <c r="C230" s="1">
        <v>44852</v>
      </c>
      <c r="D230" s="1">
        <v>44896</v>
      </c>
      <c r="H230" t="s">
        <v>78</v>
      </c>
      <c r="I230" t="str">
        <f>"SABLAN"</f>
        <v>SABLAN</v>
      </c>
      <c r="J230" t="str">
        <f>"MICHELLE"</f>
        <v>MICHELLE</v>
      </c>
      <c r="K230" t="str">
        <f>"LIN"</f>
        <v>LIN</v>
      </c>
      <c r="L230" t="str">
        <f>"MEMBER"</f>
        <v>MEMBER</v>
      </c>
      <c r="M230" t="str">
        <f>"980 Chalan Tun Thomas P. Sablan"</f>
        <v>980 Chalan Tun Thomas P. Sablan</v>
      </c>
      <c r="N230" t="str">
        <f>"San Antonio"</f>
        <v>San Antonio</v>
      </c>
      <c r="O230" t="str">
        <f>"Saipan"</f>
        <v>Saipan</v>
      </c>
      <c r="P230" t="str">
        <f t="shared" si="147"/>
        <v>MP</v>
      </c>
      <c r="Q230" s="4" t="str">
        <f t="shared" si="153"/>
        <v>96950</v>
      </c>
      <c r="R230" t="str">
        <f t="shared" si="132"/>
        <v>UNITED STATES OF AMERICA</v>
      </c>
      <c r="S230" t="str">
        <f>""</f>
        <v/>
      </c>
      <c r="T230" s="5" t="str">
        <f>"16702351680"</f>
        <v>16702351680</v>
      </c>
      <c r="U230" t="str">
        <f>""</f>
        <v/>
      </c>
      <c r="V230" s="5" t="str">
        <f>""</f>
        <v/>
      </c>
      <c r="W230" t="str">
        <f>"marianaspm2020@gmail.com"</f>
        <v>marianaspm2020@gmail.com</v>
      </c>
      <c r="X230" t="str">
        <f>"Marianas Pacific Management LLC."</f>
        <v>Marianas Pacific Management LLC.</v>
      </c>
      <c r="Y230" t="str">
        <f>""</f>
        <v/>
      </c>
      <c r="Z230" t="str">
        <f>"980 Chalan Tun Thomas P. Sablan"</f>
        <v>980 Chalan Tun Thomas P. Sablan</v>
      </c>
      <c r="AA230" t="str">
        <f>"San Antonio"</f>
        <v>San Antonio</v>
      </c>
      <c r="AB230" t="str">
        <f>"Saipan"</f>
        <v>Saipan</v>
      </c>
      <c r="AC230" t="str">
        <f t="shared" si="141"/>
        <v>MP</v>
      </c>
      <c r="AD230" t="str">
        <f t="shared" si="154"/>
        <v>96950</v>
      </c>
      <c r="AE230" t="str">
        <f t="shared" si="142"/>
        <v>UNITED STATES OF AMERICA</v>
      </c>
      <c r="AF230" t="str">
        <f>""</f>
        <v/>
      </c>
      <c r="AG230" s="4" t="str">
        <f>"16702351680"</f>
        <v>16702351680</v>
      </c>
      <c r="AH230" t="str">
        <f>""</f>
        <v/>
      </c>
      <c r="AI230" t="str">
        <f>"53112"</f>
        <v>53112</v>
      </c>
      <c r="AJ230" t="s">
        <v>79</v>
      </c>
      <c r="AK230" t="s">
        <v>79</v>
      </c>
      <c r="AL230" t="s">
        <v>80</v>
      </c>
      <c r="AM230" t="s">
        <v>79</v>
      </c>
      <c r="AP230" t="str">
        <f>"Maintenance"</f>
        <v>Maintenance</v>
      </c>
      <c r="AQ230" t="str">
        <f>"49-9071.00"</f>
        <v>49-9071.00</v>
      </c>
      <c r="AR230" t="str">
        <f>"Maintenance and Repair Workers, General"</f>
        <v>Maintenance and Repair Workers, General</v>
      </c>
      <c r="AS230" t="str">
        <f>"N/A"</f>
        <v>N/A</v>
      </c>
      <c r="AT230" t="s">
        <v>79</v>
      </c>
      <c r="AU230" t="str">
        <f>""</f>
        <v/>
      </c>
      <c r="AV230" t="str">
        <f>""</f>
        <v/>
      </c>
      <c r="AW230" t="s">
        <v>79</v>
      </c>
      <c r="AX230" t="str">
        <f>""</f>
        <v/>
      </c>
      <c r="AY230" t="s">
        <v>84</v>
      </c>
      <c r="BA230" t="s">
        <v>80</v>
      </c>
      <c r="BB230" t="s">
        <v>79</v>
      </c>
      <c r="BD230" t="s">
        <v>79</v>
      </c>
      <c r="BG230" t="s">
        <v>82</v>
      </c>
      <c r="BH230">
        <v>3</v>
      </c>
      <c r="BI230" t="s">
        <v>361</v>
      </c>
      <c r="BJ230" t="s">
        <v>1065</v>
      </c>
      <c r="BK230" t="str">
        <f>"980 Chalan Tun Thomas P. Sablan"</f>
        <v>980 Chalan Tun Thomas P. Sablan</v>
      </c>
      <c r="BL230" t="str">
        <f>"San Antonio"</f>
        <v>San Antonio</v>
      </c>
      <c r="BM230" t="str">
        <f>"Saipan"</f>
        <v>Saipan</v>
      </c>
      <c r="BO230" t="s">
        <v>83</v>
      </c>
      <c r="BP230" s="4" t="str">
        <f t="shared" si="155"/>
        <v>96950</v>
      </c>
      <c r="BQ230" t="s">
        <v>79</v>
      </c>
      <c r="BR230" t="str">
        <f>"49-9071.00"</f>
        <v>49-9071.00</v>
      </c>
      <c r="BS230" t="s">
        <v>146</v>
      </c>
      <c r="BT230" s="3">
        <v>9.19</v>
      </c>
      <c r="BU230" t="s">
        <v>80</v>
      </c>
      <c r="BV230" t="s">
        <v>90</v>
      </c>
      <c r="BW230" t="s">
        <v>92</v>
      </c>
      <c r="BZ230" s="1">
        <v>45107</v>
      </c>
    </row>
    <row r="231" spans="1:78" ht="15" customHeight="1" x14ac:dyDescent="0.25">
      <c r="A231" t="s">
        <v>1066</v>
      </c>
      <c r="B231" t="s">
        <v>94</v>
      </c>
      <c r="C231" s="1">
        <v>44852</v>
      </c>
      <c r="D231" s="1">
        <v>44896</v>
      </c>
      <c r="H231" t="s">
        <v>78</v>
      </c>
      <c r="I231" t="str">
        <f>"KAWABE-TIU"</f>
        <v>KAWABE-TIU</v>
      </c>
      <c r="J231" t="str">
        <f>"KAZUKO"</f>
        <v>KAZUKO</v>
      </c>
      <c r="K231" t="str">
        <f>""</f>
        <v/>
      </c>
      <c r="L231" t="str">
        <f>"VICE PRESIDENT AND SECRETARY"</f>
        <v>VICE PRESIDENT AND SECRETARY</v>
      </c>
      <c r="M231" t="str">
        <f>"PO BOX 502148"</f>
        <v>PO BOX 502148</v>
      </c>
      <c r="N231" t="str">
        <f>"201-A SCS bldg. Beach Road Cor. Llat St Garapan"</f>
        <v>201-A SCS bldg. Beach Road Cor. Llat St Garapan</v>
      </c>
      <c r="O231" t="str">
        <f>"SAIPAN"</f>
        <v>SAIPAN</v>
      </c>
      <c r="P231" t="str">
        <f t="shared" si="147"/>
        <v>MP</v>
      </c>
      <c r="Q231" s="4" t="str">
        <f t="shared" si="153"/>
        <v>96950</v>
      </c>
      <c r="R231" t="str">
        <f t="shared" si="132"/>
        <v>UNITED STATES OF AMERICA</v>
      </c>
      <c r="S231" t="str">
        <f>""</f>
        <v/>
      </c>
      <c r="T231" s="5" t="str">
        <f>"16702338002"</f>
        <v>16702338002</v>
      </c>
      <c r="U231" t="str">
        <f>""</f>
        <v/>
      </c>
      <c r="V231" s="5" t="str">
        <f>""</f>
        <v/>
      </c>
      <c r="W231" t="str">
        <f>"qualitywater.hr@gmail.com"</f>
        <v>qualitywater.hr@gmail.com</v>
      </c>
      <c r="X231" t="str">
        <f>"Quality Water Inc"</f>
        <v>Quality Water Inc</v>
      </c>
      <c r="Y231" t="str">
        <f>""</f>
        <v/>
      </c>
      <c r="Z231" t="str">
        <f>"PO BOX 502148"</f>
        <v>PO BOX 502148</v>
      </c>
      <c r="AA231" t="str">
        <f>""</f>
        <v/>
      </c>
      <c r="AB231" t="str">
        <f>"Saipan"</f>
        <v>Saipan</v>
      </c>
      <c r="AC231" t="str">
        <f t="shared" si="141"/>
        <v>MP</v>
      </c>
      <c r="AD231" t="str">
        <f t="shared" si="154"/>
        <v>96950</v>
      </c>
      <c r="AE231" t="str">
        <f t="shared" si="142"/>
        <v>UNITED STATES OF AMERICA</v>
      </c>
      <c r="AF231" t="str">
        <f>""</f>
        <v/>
      </c>
      <c r="AG231" s="4" t="str">
        <f>"16702338002"</f>
        <v>16702338002</v>
      </c>
      <c r="AH231" t="str">
        <f>""</f>
        <v/>
      </c>
      <c r="AI231" t="str">
        <f>"54138"</f>
        <v>54138</v>
      </c>
      <c r="AJ231" t="s">
        <v>79</v>
      </c>
      <c r="AK231" t="s">
        <v>79</v>
      </c>
      <c r="AL231" t="s">
        <v>80</v>
      </c>
      <c r="AM231" t="s">
        <v>79</v>
      </c>
      <c r="AP231" t="str">
        <f>"Water Quality Specialist"</f>
        <v>Water Quality Specialist</v>
      </c>
      <c r="AQ231" t="str">
        <f>"19-4042.00"</f>
        <v>19-4042.00</v>
      </c>
      <c r="AR231" t="str">
        <f>"Environmental Science and Protection Technicians, Including Health"</f>
        <v>Environmental Science and Protection Technicians, Including Health</v>
      </c>
      <c r="AS231" t="str">
        <f>""</f>
        <v/>
      </c>
      <c r="AT231" t="s">
        <v>79</v>
      </c>
      <c r="AU231" t="str">
        <f>""</f>
        <v/>
      </c>
      <c r="AV231" t="str">
        <f>""</f>
        <v/>
      </c>
      <c r="AW231" t="s">
        <v>79</v>
      </c>
      <c r="AX231" t="str">
        <f>""</f>
        <v/>
      </c>
      <c r="AY231" t="s">
        <v>95</v>
      </c>
      <c r="BA231" t="s">
        <v>1067</v>
      </c>
      <c r="BB231" t="s">
        <v>79</v>
      </c>
      <c r="BD231" t="s">
        <v>79</v>
      </c>
      <c r="BG231" t="s">
        <v>82</v>
      </c>
      <c r="BH231">
        <v>48</v>
      </c>
      <c r="BI231" t="s">
        <v>1068</v>
      </c>
      <c r="BJ231" t="s">
        <v>1069</v>
      </c>
      <c r="BK231" t="str">
        <f>"PO BOX 502148"</f>
        <v>PO BOX 502148</v>
      </c>
      <c r="BL231" t="str">
        <f>"201 - A SCS bldg. Beach Road Cor. Llat St Garapan"</f>
        <v>201 - A SCS bldg. Beach Road Cor. Llat St Garapan</v>
      </c>
      <c r="BM231" t="str">
        <f>"Saipan "</f>
        <v xml:space="preserve">Saipan </v>
      </c>
      <c r="BO231" t="s">
        <v>83</v>
      </c>
      <c r="BP231" s="4" t="str">
        <f t="shared" si="155"/>
        <v>96950</v>
      </c>
      <c r="BQ231" t="s">
        <v>79</v>
      </c>
      <c r="BR231" t="str">
        <f>"19-4042.00"</f>
        <v>19-4042.00</v>
      </c>
      <c r="BS231" t="s">
        <v>1070</v>
      </c>
      <c r="BT231" s="3">
        <v>13.46</v>
      </c>
      <c r="BU231" t="s">
        <v>80</v>
      </c>
      <c r="BV231" t="s">
        <v>90</v>
      </c>
      <c r="BW231" t="s">
        <v>92</v>
      </c>
      <c r="BZ231" s="1">
        <v>45107</v>
      </c>
    </row>
    <row r="232" spans="1:78" ht="15" customHeight="1" x14ac:dyDescent="0.25">
      <c r="A232" t="s">
        <v>1071</v>
      </c>
      <c r="B232" t="s">
        <v>94</v>
      </c>
      <c r="C232" s="1">
        <v>44852</v>
      </c>
      <c r="D232" s="1">
        <v>44896</v>
      </c>
      <c r="H232" t="s">
        <v>78</v>
      </c>
      <c r="I232" t="str">
        <f>"Kawabe-Tiu"</f>
        <v>Kawabe-Tiu</v>
      </c>
      <c r="J232" t="str">
        <f>"Kazuko"</f>
        <v>Kazuko</v>
      </c>
      <c r="K232" t="str">
        <f>""</f>
        <v/>
      </c>
      <c r="L232" t="str">
        <f>"Vice President and Secretary"</f>
        <v>Vice President and Secretary</v>
      </c>
      <c r="M232" t="str">
        <f>"PO BOX 502148"</f>
        <v>PO BOX 502148</v>
      </c>
      <c r="N232" t="str">
        <f>"201 - A SCS bldg. Beach Road Cor. Llat St Garapan"</f>
        <v>201 - A SCS bldg. Beach Road Cor. Llat St Garapan</v>
      </c>
      <c r="O232" t="str">
        <f>"Saipan"</f>
        <v>Saipan</v>
      </c>
      <c r="P232" t="str">
        <f t="shared" si="147"/>
        <v>MP</v>
      </c>
      <c r="Q232" s="4" t="str">
        <f t="shared" si="153"/>
        <v>96950</v>
      </c>
      <c r="R232" t="str">
        <f t="shared" si="132"/>
        <v>UNITED STATES OF AMERICA</v>
      </c>
      <c r="S232" t="str">
        <f>""</f>
        <v/>
      </c>
      <c r="T232" s="5" t="str">
        <f>"16702338002"</f>
        <v>16702338002</v>
      </c>
      <c r="U232" t="str">
        <f>""</f>
        <v/>
      </c>
      <c r="V232" s="5" t="str">
        <f>""</f>
        <v/>
      </c>
      <c r="W232" t="str">
        <f>"qualitywater.hr@gmail.com"</f>
        <v>qualitywater.hr@gmail.com</v>
      </c>
      <c r="X232" t="str">
        <f>"Quality Water Inc"</f>
        <v>Quality Water Inc</v>
      </c>
      <c r="Y232" t="str">
        <f>""</f>
        <v/>
      </c>
      <c r="Z232" t="str">
        <f>"PO BOX 502148"</f>
        <v>PO BOX 502148</v>
      </c>
      <c r="AA232" t="str">
        <f>"201 - A SCS bldg. Beach Road Cor. Llat St Garapan"</f>
        <v>201 - A SCS bldg. Beach Road Cor. Llat St Garapan</v>
      </c>
      <c r="AB232" t="str">
        <f>"Saipan "</f>
        <v xml:space="preserve">Saipan </v>
      </c>
      <c r="AC232" t="str">
        <f t="shared" si="141"/>
        <v>MP</v>
      </c>
      <c r="AD232" t="str">
        <f t="shared" si="154"/>
        <v>96950</v>
      </c>
      <c r="AE232" t="str">
        <f t="shared" si="142"/>
        <v>UNITED STATES OF AMERICA</v>
      </c>
      <c r="AF232" t="str">
        <f>""</f>
        <v/>
      </c>
      <c r="AG232" s="4" t="str">
        <f>"16702338002"</f>
        <v>16702338002</v>
      </c>
      <c r="AH232" t="str">
        <f>""</f>
        <v/>
      </c>
      <c r="AI232" t="str">
        <f>"54138"</f>
        <v>54138</v>
      </c>
      <c r="AJ232" t="s">
        <v>79</v>
      </c>
      <c r="AK232" t="s">
        <v>79</v>
      </c>
      <c r="AL232" t="s">
        <v>80</v>
      </c>
      <c r="AM232" t="s">
        <v>79</v>
      </c>
      <c r="AP232" t="str">
        <f>"Laboratory Analyst"</f>
        <v>Laboratory Analyst</v>
      </c>
      <c r="AQ232" t="str">
        <f>"19-4099.01"</f>
        <v>19-4099.01</v>
      </c>
      <c r="AR232" t="str">
        <f>"Quality Control Analysts"</f>
        <v>Quality Control Analysts</v>
      </c>
      <c r="AS232" t="str">
        <f>""</f>
        <v/>
      </c>
      <c r="AT232" t="s">
        <v>79</v>
      </c>
      <c r="AU232" t="str">
        <f>""</f>
        <v/>
      </c>
      <c r="AV232" t="str">
        <f>""</f>
        <v/>
      </c>
      <c r="AW232" t="s">
        <v>79</v>
      </c>
      <c r="AX232" t="str">
        <f>""</f>
        <v/>
      </c>
      <c r="AY232" t="s">
        <v>124</v>
      </c>
      <c r="BA232" t="s">
        <v>1072</v>
      </c>
      <c r="BB232" t="s">
        <v>79</v>
      </c>
      <c r="BD232" t="s">
        <v>79</v>
      </c>
      <c r="BG232" t="s">
        <v>82</v>
      </c>
      <c r="BH232">
        <v>24</v>
      </c>
      <c r="BI232" t="s">
        <v>1068</v>
      </c>
      <c r="BJ232" t="s">
        <v>1073</v>
      </c>
      <c r="BK232" t="str">
        <f>"PO BOX 502148"</f>
        <v>PO BOX 502148</v>
      </c>
      <c r="BL232" t="str">
        <f>"201 - A SCS bldg. Beach Road Cor. Llat St Garapan"</f>
        <v>201 - A SCS bldg. Beach Road Cor. Llat St Garapan</v>
      </c>
      <c r="BM232" t="str">
        <f>"Saipan"</f>
        <v>Saipan</v>
      </c>
      <c r="BO232" t="s">
        <v>83</v>
      </c>
      <c r="BP232" s="4" t="str">
        <f t="shared" si="155"/>
        <v>96950</v>
      </c>
      <c r="BQ232" t="s">
        <v>79</v>
      </c>
      <c r="BR232" t="str">
        <f>"19-4099.01"</f>
        <v>19-4099.01</v>
      </c>
      <c r="BS232" t="s">
        <v>1074</v>
      </c>
      <c r="BT232" s="3">
        <v>13.46</v>
      </c>
      <c r="BU232" t="s">
        <v>80</v>
      </c>
      <c r="BV232" t="s">
        <v>90</v>
      </c>
      <c r="BW232" t="s">
        <v>92</v>
      </c>
      <c r="BZ232" s="1">
        <v>45107</v>
      </c>
    </row>
    <row r="233" spans="1:78" ht="15" customHeight="1" x14ac:dyDescent="0.25">
      <c r="A233" t="s">
        <v>1075</v>
      </c>
      <c r="B233" t="s">
        <v>94</v>
      </c>
      <c r="C233" s="1">
        <v>44852</v>
      </c>
      <c r="D233" s="1">
        <v>44896</v>
      </c>
      <c r="H233" t="s">
        <v>78</v>
      </c>
      <c r="I233" t="str">
        <f>"LIZAMA"</f>
        <v>LIZAMA</v>
      </c>
      <c r="J233" t="str">
        <f>"CHARLENE"</f>
        <v>CHARLENE</v>
      </c>
      <c r="K233" t="str">
        <f>"MANGLONA"</f>
        <v>MANGLONA</v>
      </c>
      <c r="L233" t="str">
        <f>"EMPLOYER"</f>
        <v>EMPLOYER</v>
      </c>
      <c r="M233" t="str">
        <f>"P.O.BOX 473,SAN JOSE VILLAGE"</f>
        <v>P.O.BOX 473,SAN JOSE VILLAGE</v>
      </c>
      <c r="N233" t="str">
        <f>"MAIN STREET 2,SAN JOSE VILLAGE"</f>
        <v>MAIN STREET 2,SAN JOSE VILLAGE</v>
      </c>
      <c r="O233" t="str">
        <f>"TINIAN"</f>
        <v>TINIAN</v>
      </c>
      <c r="P233" t="str">
        <f t="shared" si="147"/>
        <v>MP</v>
      </c>
      <c r="Q233" s="4" t="str">
        <f>"96952"</f>
        <v>96952</v>
      </c>
      <c r="R233" t="str">
        <f t="shared" si="132"/>
        <v>UNITED STATES OF AMERICA</v>
      </c>
      <c r="S233" t="str">
        <f>"N/A"</f>
        <v>N/A</v>
      </c>
      <c r="T233" s="5" t="str">
        <f>"16702873223"</f>
        <v>16702873223</v>
      </c>
      <c r="U233" t="str">
        <f>""</f>
        <v/>
      </c>
      <c r="V233" s="5" t="str">
        <f>""</f>
        <v/>
      </c>
      <c r="W233" t="str">
        <f>"Charlenelizama32@gmail.com"</f>
        <v>Charlenelizama32@gmail.com</v>
      </c>
      <c r="X233" t="str">
        <f>"LORILYNN HOTEL"</f>
        <v>LORILYNN HOTEL</v>
      </c>
      <c r="Y233" t="str">
        <f>""</f>
        <v/>
      </c>
      <c r="Z233" t="str">
        <f>"P.O.BOX 473 SAN JOSE VILLAGE"</f>
        <v>P.O.BOX 473 SAN JOSE VILLAGE</v>
      </c>
      <c r="AA233" t="str">
        <f>"MAIN STREET 2 SAN JOSE VILLAGE"</f>
        <v>MAIN STREET 2 SAN JOSE VILLAGE</v>
      </c>
      <c r="AB233" t="str">
        <f>"TINIAN"</f>
        <v>TINIAN</v>
      </c>
      <c r="AC233" t="str">
        <f t="shared" si="141"/>
        <v>MP</v>
      </c>
      <c r="AD233" t="str">
        <f>"96952"</f>
        <v>96952</v>
      </c>
      <c r="AE233" t="str">
        <f t="shared" si="142"/>
        <v>UNITED STATES OF AMERICA</v>
      </c>
      <c r="AF233" t="str">
        <f>"N/A"</f>
        <v>N/A</v>
      </c>
      <c r="AG233" s="4" t="str">
        <f>"16702873223"</f>
        <v>16702873223</v>
      </c>
      <c r="AH233" t="str">
        <f>""</f>
        <v/>
      </c>
      <c r="AI233" t="str">
        <f>"72111"</f>
        <v>72111</v>
      </c>
      <c r="AJ233" t="s">
        <v>79</v>
      </c>
      <c r="AK233" t="s">
        <v>79</v>
      </c>
      <c r="AL233" t="s">
        <v>80</v>
      </c>
      <c r="AM233" t="s">
        <v>79</v>
      </c>
      <c r="AP233" t="str">
        <f>"HOUSE  KEEPING"</f>
        <v>HOUSE  KEEPING</v>
      </c>
      <c r="AQ233" t="str">
        <f>""</f>
        <v/>
      </c>
      <c r="AR233" t="str">
        <f>""</f>
        <v/>
      </c>
      <c r="AS233" t="str">
        <f>"EMPLOYER"</f>
        <v>EMPLOYER</v>
      </c>
      <c r="AT233" t="s">
        <v>79</v>
      </c>
      <c r="AU233" t="str">
        <f>""</f>
        <v/>
      </c>
      <c r="AV233" t="str">
        <f>""</f>
        <v/>
      </c>
      <c r="AW233" t="s">
        <v>79</v>
      </c>
      <c r="AX233" t="str">
        <f>""</f>
        <v/>
      </c>
      <c r="AY233" t="s">
        <v>84</v>
      </c>
      <c r="BA233" t="s">
        <v>80</v>
      </c>
      <c r="BB233" t="s">
        <v>79</v>
      </c>
      <c r="BD233" t="s">
        <v>79</v>
      </c>
      <c r="BG233" t="s">
        <v>79</v>
      </c>
      <c r="BJ233" t="s">
        <v>1076</v>
      </c>
      <c r="BK233" t="str">
        <f>"P.O.BOX 473 SAN JOSE VILLAGE"</f>
        <v>P.O.BOX 473 SAN JOSE VILLAGE</v>
      </c>
      <c r="BL233" t="str">
        <f>"MAIN STREET 2 SAN JOSE VILLAGE"</f>
        <v>MAIN STREET 2 SAN JOSE VILLAGE</v>
      </c>
      <c r="BM233" t="str">
        <f>"TINIAN"</f>
        <v>TINIAN</v>
      </c>
      <c r="BO233" t="s">
        <v>83</v>
      </c>
      <c r="BP233" s="4" t="str">
        <f>"96952"</f>
        <v>96952</v>
      </c>
      <c r="BQ233" t="s">
        <v>79</v>
      </c>
      <c r="BR233" t="str">
        <f>"37-2012.00"</f>
        <v>37-2012.00</v>
      </c>
      <c r="BS233" t="s">
        <v>109</v>
      </c>
      <c r="BT233" s="3">
        <v>7.56</v>
      </c>
      <c r="BU233" t="s">
        <v>80</v>
      </c>
      <c r="BV233" t="s">
        <v>90</v>
      </c>
      <c r="BW233" t="s">
        <v>92</v>
      </c>
      <c r="BZ233" s="1">
        <v>45107</v>
      </c>
    </row>
    <row r="234" spans="1:78" ht="15" customHeight="1" x14ac:dyDescent="0.25">
      <c r="A234" t="s">
        <v>1020</v>
      </c>
      <c r="B234" t="s">
        <v>94</v>
      </c>
      <c r="C234" s="1">
        <v>44851</v>
      </c>
      <c r="D234" s="1">
        <v>44896</v>
      </c>
      <c r="H234" t="s">
        <v>78</v>
      </c>
      <c r="I234" t="str">
        <f>"PARK "</f>
        <v xml:space="preserve">PARK </v>
      </c>
      <c r="J234" t="str">
        <f>"EUN PYUNG "</f>
        <v xml:space="preserve">EUN PYUNG </v>
      </c>
      <c r="K234" t="str">
        <f>""</f>
        <v/>
      </c>
      <c r="L234" t="str">
        <f>"GENERAL MANAGER "</f>
        <v xml:space="preserve">GENERAL MANAGER </v>
      </c>
      <c r="M234" t="str">
        <f>"4940 AS GONNO RD. KOBLERVILLE"</f>
        <v>4940 AS GONNO RD. KOBLERVILLE</v>
      </c>
      <c r="N234" t="str">
        <f>"P.O BOX 501160"</f>
        <v>P.O BOX 501160</v>
      </c>
      <c r="O234" t="str">
        <f>"SAIPAN "</f>
        <v xml:space="preserve">SAIPAN </v>
      </c>
      <c r="P234" t="str">
        <f t="shared" si="147"/>
        <v>MP</v>
      </c>
      <c r="Q234" s="4" t="str">
        <f>"96950"</f>
        <v>96950</v>
      </c>
      <c r="R234" t="str">
        <f t="shared" si="132"/>
        <v>UNITED STATES OF AMERICA</v>
      </c>
      <c r="S234" t="str">
        <f>""</f>
        <v/>
      </c>
      <c r="T234" s="5" t="str">
        <f>"16702347000"</f>
        <v>16702347000</v>
      </c>
      <c r="U234" t="str">
        <f>""</f>
        <v/>
      </c>
      <c r="V234" s="5" t="str">
        <f>""</f>
        <v/>
      </c>
      <c r="W234" t="str">
        <f>"hr@coraloceansaipan.com"</f>
        <v>hr@coraloceansaipan.com</v>
      </c>
      <c r="X234" t="str">
        <f>"SUWASO CORPORATION "</f>
        <v xml:space="preserve">SUWASO CORPORATION </v>
      </c>
      <c r="Y234" t="str">
        <f>"CORAL OCEAN RESORT "</f>
        <v xml:space="preserve">CORAL OCEAN RESORT </v>
      </c>
      <c r="Z234" t="str">
        <f>"4940 AS GONNO RD. KOBLERVILLE"</f>
        <v>4940 AS GONNO RD. KOBLERVILLE</v>
      </c>
      <c r="AA234" t="str">
        <f>"P.O BOX 501160"</f>
        <v>P.O BOX 501160</v>
      </c>
      <c r="AB234" t="str">
        <f>"SAIPAN "</f>
        <v xml:space="preserve">SAIPAN </v>
      </c>
      <c r="AC234" t="str">
        <f t="shared" si="141"/>
        <v>MP</v>
      </c>
      <c r="AD234" t="str">
        <f t="shared" ref="AD234:AD268" si="156">"96950"</f>
        <v>96950</v>
      </c>
      <c r="AE234" t="str">
        <f t="shared" si="142"/>
        <v>UNITED STATES OF AMERICA</v>
      </c>
      <c r="AF234" t="str">
        <f>""</f>
        <v/>
      </c>
      <c r="AG234" s="4" t="str">
        <f>"16702347000"</f>
        <v>16702347000</v>
      </c>
      <c r="AH234" t="str">
        <f>""</f>
        <v/>
      </c>
      <c r="AI234" t="str">
        <f>"72111"</f>
        <v>72111</v>
      </c>
      <c r="AJ234" t="s">
        <v>79</v>
      </c>
      <c r="AK234" t="s">
        <v>79</v>
      </c>
      <c r="AL234" t="s">
        <v>80</v>
      </c>
      <c r="AM234" t="s">
        <v>79</v>
      </c>
      <c r="AP234" t="str">
        <f>"ACCOUNTANT "</f>
        <v xml:space="preserve">ACCOUNTANT </v>
      </c>
      <c r="AQ234" t="str">
        <f>"43-3031.00"</f>
        <v>43-3031.00</v>
      </c>
      <c r="AR234" t="str">
        <f>"Bookkeeping, Accounting, and Auditing Clerks"</f>
        <v>Bookkeeping, Accounting, and Auditing Clerks</v>
      </c>
      <c r="AS234" t="str">
        <f>"ACCOUNTING ASST. MANAGER "</f>
        <v xml:space="preserve">ACCOUNTING ASST. MANAGER </v>
      </c>
      <c r="AT234" t="s">
        <v>79</v>
      </c>
      <c r="AU234" t="str">
        <f>""</f>
        <v/>
      </c>
      <c r="AV234" t="str">
        <f>""</f>
        <v/>
      </c>
      <c r="AW234" t="s">
        <v>79</v>
      </c>
      <c r="AX234" t="str">
        <f>""</f>
        <v/>
      </c>
      <c r="AY234" t="s">
        <v>95</v>
      </c>
      <c r="BA234" t="s">
        <v>1021</v>
      </c>
      <c r="BB234" t="s">
        <v>79</v>
      </c>
      <c r="BD234" t="s">
        <v>79</v>
      </c>
      <c r="BG234" t="s">
        <v>82</v>
      </c>
      <c r="BH234">
        <v>24</v>
      </c>
      <c r="BI234" t="s">
        <v>255</v>
      </c>
      <c r="BJ234" s="2" t="s">
        <v>1022</v>
      </c>
      <c r="BK234" t="str">
        <f>"4940 AS GONNO ROAD, KOBLERVILLE "</f>
        <v xml:space="preserve">4940 AS GONNO ROAD, KOBLERVILLE </v>
      </c>
      <c r="BL234" t="str">
        <f>"P.O BOX 501160"</f>
        <v>P.O BOX 501160</v>
      </c>
      <c r="BM234" t="str">
        <f>"SAIPAN "</f>
        <v xml:space="preserve">SAIPAN </v>
      </c>
      <c r="BO234" t="s">
        <v>83</v>
      </c>
      <c r="BP234" s="4" t="str">
        <f t="shared" ref="BP234:BP268" si="157">"96950"</f>
        <v>96950</v>
      </c>
      <c r="BQ234" t="s">
        <v>79</v>
      </c>
      <c r="BR234" t="str">
        <f>"13-2011.00"</f>
        <v>13-2011.00</v>
      </c>
      <c r="BS234" t="s">
        <v>133</v>
      </c>
      <c r="BT234" s="3">
        <v>16.190000000000001</v>
      </c>
      <c r="BU234" t="s">
        <v>80</v>
      </c>
      <c r="BV234" t="s">
        <v>90</v>
      </c>
      <c r="BW234" t="s">
        <v>92</v>
      </c>
      <c r="BZ234" s="1">
        <v>45107</v>
      </c>
    </row>
    <row r="235" spans="1:78" ht="15" customHeight="1" x14ac:dyDescent="0.25">
      <c r="A235" t="s">
        <v>1030</v>
      </c>
      <c r="B235" t="s">
        <v>94</v>
      </c>
      <c r="C235" s="1">
        <v>44851</v>
      </c>
      <c r="D235" s="1">
        <v>44896</v>
      </c>
      <c r="H235" t="s">
        <v>78</v>
      </c>
      <c r="I235" t="str">
        <f>"LEON GUERRERO "</f>
        <v xml:space="preserve">LEON GUERRERO </v>
      </c>
      <c r="J235" t="str">
        <f>"BERTHA "</f>
        <v xml:space="preserve">BERTHA </v>
      </c>
      <c r="K235" t="str">
        <f>"CAMACHO "</f>
        <v xml:space="preserve">CAMACHO </v>
      </c>
      <c r="L235" t="str">
        <f>"OPERATIONS DIRECTOR "</f>
        <v xml:space="preserve">OPERATIONS DIRECTOR </v>
      </c>
      <c r="M235" t="str">
        <f>"P.O BOX 502370"</f>
        <v>P.O BOX 502370</v>
      </c>
      <c r="N235" t="str">
        <f>""</f>
        <v/>
      </c>
      <c r="O235" t="str">
        <f>"SAIPAN "</f>
        <v xml:space="preserve">SAIPAN </v>
      </c>
      <c r="P235" t="str">
        <f t="shared" si="147"/>
        <v>MP</v>
      </c>
      <c r="Q235" s="4" t="str">
        <f>"96950"</f>
        <v>96950</v>
      </c>
      <c r="R235" t="str">
        <f t="shared" si="132"/>
        <v>UNITED STATES OF AMERICA</v>
      </c>
      <c r="S235" t="str">
        <f>""</f>
        <v/>
      </c>
      <c r="T235" s="5" t="str">
        <f>"16702861947"</f>
        <v>16702861947</v>
      </c>
      <c r="U235" t="str">
        <f>""</f>
        <v/>
      </c>
      <c r="V235" s="5" t="str">
        <f>""</f>
        <v/>
      </c>
      <c r="W235" t="str">
        <f>"bclg.mri@gmail.com"</f>
        <v>bclg.mri@gmail.com</v>
      </c>
      <c r="X235" t="str">
        <f>"MARIANAS STAFFING SOLUTIONS, INC. "</f>
        <v xml:space="preserve">MARIANAS STAFFING SOLUTIONS, INC. </v>
      </c>
      <c r="Y235" t="str">
        <f>""</f>
        <v/>
      </c>
      <c r="Z235" t="str">
        <f>"P.O BOX 502370"</f>
        <v>P.O BOX 502370</v>
      </c>
      <c r="AA235" t="str">
        <f>""</f>
        <v/>
      </c>
      <c r="AB235" t="str">
        <f>"SAIPAN "</f>
        <v xml:space="preserve">SAIPAN </v>
      </c>
      <c r="AC235" t="str">
        <f t="shared" si="141"/>
        <v>MP</v>
      </c>
      <c r="AD235" t="str">
        <f t="shared" si="156"/>
        <v>96950</v>
      </c>
      <c r="AE235" t="str">
        <f t="shared" si="142"/>
        <v>UNITED STATES OF AMERICA</v>
      </c>
      <c r="AF235" t="str">
        <f>""</f>
        <v/>
      </c>
      <c r="AG235" s="4" t="str">
        <f>"16702861947"</f>
        <v>16702861947</v>
      </c>
      <c r="AH235" t="str">
        <f>""</f>
        <v/>
      </c>
      <c r="AI235" t="str">
        <f>"561311"</f>
        <v>561311</v>
      </c>
      <c r="AJ235" t="s">
        <v>79</v>
      </c>
      <c r="AK235" t="s">
        <v>79</v>
      </c>
      <c r="AL235" t="s">
        <v>80</v>
      </c>
      <c r="AM235" t="s">
        <v>79</v>
      </c>
      <c r="AP235" t="str">
        <f>"INFORMATION TECHNOLOGY SPECIALIST "</f>
        <v xml:space="preserve">INFORMATION TECHNOLOGY SPECIALIST </v>
      </c>
      <c r="AQ235" t="str">
        <f>"15-1232.00"</f>
        <v>15-1232.00</v>
      </c>
      <c r="AR235" t="str">
        <f>"Computer User Support Specialists"</f>
        <v>Computer User Support Specialists</v>
      </c>
      <c r="AS235" t="str">
        <f>"INFORMATION TECHNOLOGY MANAGER "</f>
        <v xml:space="preserve">INFORMATION TECHNOLOGY MANAGER </v>
      </c>
      <c r="AT235" t="s">
        <v>79</v>
      </c>
      <c r="AU235" t="str">
        <f>""</f>
        <v/>
      </c>
      <c r="AV235" t="str">
        <f>""</f>
        <v/>
      </c>
      <c r="AW235" t="s">
        <v>79</v>
      </c>
      <c r="AX235" t="str">
        <f>""</f>
        <v/>
      </c>
      <c r="AY235" t="s">
        <v>95</v>
      </c>
      <c r="BA235" t="s">
        <v>1031</v>
      </c>
      <c r="BB235" t="s">
        <v>79</v>
      </c>
      <c r="BD235" t="s">
        <v>79</v>
      </c>
      <c r="BG235" t="s">
        <v>82</v>
      </c>
      <c r="BH235">
        <v>24</v>
      </c>
      <c r="BI235" t="s">
        <v>1032</v>
      </c>
      <c r="BJ235" s="2" t="s">
        <v>1033</v>
      </c>
      <c r="BK235" t="str">
        <f>"SAN ANTONIO VILLAGE "</f>
        <v xml:space="preserve">SAN ANTONIO VILLAGE </v>
      </c>
      <c r="BL235" t="str">
        <f>""</f>
        <v/>
      </c>
      <c r="BM235" t="str">
        <f>"SAIPAN "</f>
        <v xml:space="preserve">SAIPAN </v>
      </c>
      <c r="BO235" t="s">
        <v>83</v>
      </c>
      <c r="BP235" s="4" t="str">
        <f t="shared" si="157"/>
        <v>96950</v>
      </c>
      <c r="BQ235" t="s">
        <v>82</v>
      </c>
      <c r="BR235" t="str">
        <f>"15-1231.00"</f>
        <v>15-1231.00</v>
      </c>
      <c r="BS235" t="s">
        <v>1034</v>
      </c>
      <c r="BT235" s="3">
        <v>14.1</v>
      </c>
      <c r="BU235" t="s">
        <v>80</v>
      </c>
      <c r="BV235" t="s">
        <v>90</v>
      </c>
      <c r="BW235" t="s">
        <v>92</v>
      </c>
      <c r="BZ235" s="1">
        <v>45107</v>
      </c>
    </row>
    <row r="236" spans="1:78" ht="15" customHeight="1" x14ac:dyDescent="0.25">
      <c r="A236" t="s">
        <v>1085</v>
      </c>
      <c r="B236" t="s">
        <v>94</v>
      </c>
      <c r="C236" s="1">
        <v>44854</v>
      </c>
      <c r="D236" s="1">
        <v>44895</v>
      </c>
      <c r="H236" t="s">
        <v>78</v>
      </c>
      <c r="I236" t="str">
        <f>"RAMOS"</f>
        <v>RAMOS</v>
      </c>
      <c r="J236" t="str">
        <f>"GIA"</f>
        <v>GIA</v>
      </c>
      <c r="K236" t="str">
        <f>"BLANCAFLOR"</f>
        <v>BLANCAFLOR</v>
      </c>
      <c r="L236" t="str">
        <f>"PRESIDENT"</f>
        <v>PRESIDENT</v>
      </c>
      <c r="M236" t="str">
        <f>"PO BOX 9663"</f>
        <v>PO BOX 9663</v>
      </c>
      <c r="N236" t="str">
        <f>""</f>
        <v/>
      </c>
      <c r="O236" t="str">
        <f>"TAMUNING"</f>
        <v>TAMUNING</v>
      </c>
      <c r="P236" t="str">
        <f>"GU"</f>
        <v>GU</v>
      </c>
      <c r="Q236" s="4" t="str">
        <f>"96931"</f>
        <v>96931</v>
      </c>
      <c r="R236" t="str">
        <f t="shared" si="132"/>
        <v>UNITED STATES OF AMERICA</v>
      </c>
      <c r="S236" t="str">
        <f>"NA"</f>
        <v>NA</v>
      </c>
      <c r="T236" s="5" t="str">
        <f>"16716498746"</f>
        <v>16716498746</v>
      </c>
      <c r="U236" t="str">
        <f>"203"</f>
        <v>203</v>
      </c>
      <c r="V236" s="5" t="str">
        <f>""</f>
        <v/>
      </c>
      <c r="W236" t="str">
        <f>"admin@hhcare.co"</f>
        <v>admin@hhcare.co</v>
      </c>
      <c r="X236" t="str">
        <f>"TRI ENTERPRISES, INC."</f>
        <v>TRI ENTERPRISES, INC.</v>
      </c>
      <c r="Y236" t="str">
        <f>"MARIANAS VISITING NURSES"</f>
        <v>MARIANAS VISITING NURSES</v>
      </c>
      <c r="Z236" t="str">
        <f>"BRI BLDG. KOPA DI ORU ST. GARAPAN"</f>
        <v>BRI BLDG. KOPA DI ORU ST. GARAPAN</v>
      </c>
      <c r="AA236" t="str">
        <f>"SUITE 104"</f>
        <v>SUITE 104</v>
      </c>
      <c r="AB236" t="str">
        <f>"SAIPAN"</f>
        <v>SAIPAN</v>
      </c>
      <c r="AC236" t="str">
        <f t="shared" si="141"/>
        <v>MP</v>
      </c>
      <c r="AD236" t="str">
        <f t="shared" si="156"/>
        <v>96950</v>
      </c>
      <c r="AE236" t="str">
        <f t="shared" si="142"/>
        <v>UNITED STATES OF AMERICA</v>
      </c>
      <c r="AF236" t="str">
        <f>"NA"</f>
        <v>NA</v>
      </c>
      <c r="AG236" s="4" t="str">
        <f>"16703236877"</f>
        <v>16703236877</v>
      </c>
      <c r="AH236" t="str">
        <f>""</f>
        <v/>
      </c>
      <c r="AI236" t="str">
        <f>"62161"</f>
        <v>62161</v>
      </c>
      <c r="AJ236" t="s">
        <v>79</v>
      </c>
      <c r="AK236" t="s">
        <v>79</v>
      </c>
      <c r="AL236" t="s">
        <v>80</v>
      </c>
      <c r="AM236" t="s">
        <v>79</v>
      </c>
      <c r="AP236" t="str">
        <f>"PHYSICAL THERAPIST"</f>
        <v>PHYSICAL THERAPIST</v>
      </c>
      <c r="AQ236" t="str">
        <f>"29-1123.00"</f>
        <v>29-1123.00</v>
      </c>
      <c r="AR236" t="str">
        <f>"Physical Therapists"</f>
        <v>Physical Therapists</v>
      </c>
      <c r="AS236" t="str">
        <f>"CLINICAL MANAGER"</f>
        <v>CLINICAL MANAGER</v>
      </c>
      <c r="AT236" t="s">
        <v>79</v>
      </c>
      <c r="AU236" t="str">
        <f>""</f>
        <v/>
      </c>
      <c r="AV236" t="str">
        <f>""</f>
        <v/>
      </c>
      <c r="AW236" t="s">
        <v>82</v>
      </c>
      <c r="AX236" t="str">
        <f>"FROM OFFICE TO PATIENT HOME"</f>
        <v>FROM OFFICE TO PATIENT HOME</v>
      </c>
      <c r="AY236" t="s">
        <v>95</v>
      </c>
      <c r="BA236" t="s">
        <v>1086</v>
      </c>
      <c r="BB236" t="s">
        <v>79</v>
      </c>
      <c r="BD236" t="s">
        <v>79</v>
      </c>
      <c r="BG236" t="s">
        <v>79</v>
      </c>
      <c r="BJ236" s="2" t="s">
        <v>1087</v>
      </c>
      <c r="BK236" t="str">
        <f>"BRI BLG. KOPA DI ORU ST. GARAPAN"</f>
        <v>BRI BLG. KOPA DI ORU ST. GARAPAN</v>
      </c>
      <c r="BL236" t="str">
        <f>"SUITE 104"</f>
        <v>SUITE 104</v>
      </c>
      <c r="BM236" t="str">
        <f>"SAIPAN"</f>
        <v>SAIPAN</v>
      </c>
      <c r="BO236" t="s">
        <v>83</v>
      </c>
      <c r="BP236" s="4" t="str">
        <f t="shared" si="157"/>
        <v>96950</v>
      </c>
      <c r="BQ236" t="s">
        <v>79</v>
      </c>
      <c r="BR236" t="str">
        <f>"29-1123.00"</f>
        <v>29-1123.00</v>
      </c>
      <c r="BS236" t="s">
        <v>1088</v>
      </c>
      <c r="BT236" s="3">
        <v>43</v>
      </c>
      <c r="BU236" t="s">
        <v>80</v>
      </c>
      <c r="BV236" t="s">
        <v>90</v>
      </c>
      <c r="BW236" t="s">
        <v>92</v>
      </c>
      <c r="BZ236" s="1">
        <v>45107</v>
      </c>
    </row>
    <row r="237" spans="1:78" ht="15" customHeight="1" x14ac:dyDescent="0.25">
      <c r="A237" t="s">
        <v>1089</v>
      </c>
      <c r="B237" t="s">
        <v>94</v>
      </c>
      <c r="C237" s="1">
        <v>44854</v>
      </c>
      <c r="D237" s="1">
        <v>44895</v>
      </c>
      <c r="H237" t="s">
        <v>78</v>
      </c>
      <c r="I237" t="str">
        <f>"RAMOS"</f>
        <v>RAMOS</v>
      </c>
      <c r="J237" t="str">
        <f>"GIA"</f>
        <v>GIA</v>
      </c>
      <c r="K237" t="str">
        <f>"BLANCAFLOR"</f>
        <v>BLANCAFLOR</v>
      </c>
      <c r="L237" t="str">
        <f>"PRESIDENT"</f>
        <v>PRESIDENT</v>
      </c>
      <c r="M237" t="str">
        <f>"PO BOX 9663"</f>
        <v>PO BOX 9663</v>
      </c>
      <c r="N237" t="str">
        <f>""</f>
        <v/>
      </c>
      <c r="O237" t="str">
        <f>"TAMUNING"</f>
        <v>TAMUNING</v>
      </c>
      <c r="P237" t="str">
        <f>"GU"</f>
        <v>GU</v>
      </c>
      <c r="Q237" s="4" t="str">
        <f>"96931"</f>
        <v>96931</v>
      </c>
      <c r="R237" t="str">
        <f t="shared" si="132"/>
        <v>UNITED STATES OF AMERICA</v>
      </c>
      <c r="S237" t="str">
        <f>"NA"</f>
        <v>NA</v>
      </c>
      <c r="T237" s="5" t="str">
        <f>"16716498746"</f>
        <v>16716498746</v>
      </c>
      <c r="U237" t="str">
        <f>"203"</f>
        <v>203</v>
      </c>
      <c r="V237" s="5" t="str">
        <f>""</f>
        <v/>
      </c>
      <c r="W237" t="str">
        <f>"admin@hhcare.co"</f>
        <v>admin@hhcare.co</v>
      </c>
      <c r="X237" t="str">
        <f>"MVN, INC."</f>
        <v>MVN, INC.</v>
      </c>
      <c r="Y237" t="str">
        <f>"PT REHAB CENTER"</f>
        <v>PT REHAB CENTER</v>
      </c>
      <c r="Z237" t="str">
        <f>"BRI BLDG. KOPA DI ORU ST. GARAPAN"</f>
        <v>BRI BLDG. KOPA DI ORU ST. GARAPAN</v>
      </c>
      <c r="AA237" t="str">
        <f>"SUITE 103"</f>
        <v>SUITE 103</v>
      </c>
      <c r="AB237" t="str">
        <f>"SAIPAN"</f>
        <v>SAIPAN</v>
      </c>
      <c r="AC237" t="str">
        <f t="shared" si="141"/>
        <v>MP</v>
      </c>
      <c r="AD237" t="str">
        <f t="shared" si="156"/>
        <v>96950</v>
      </c>
      <c r="AE237" t="str">
        <f t="shared" si="142"/>
        <v>UNITED STATES OF AMERICA</v>
      </c>
      <c r="AF237" t="str">
        <f>"NA"</f>
        <v>NA</v>
      </c>
      <c r="AG237" s="4" t="str">
        <f>"16703236877"</f>
        <v>16703236877</v>
      </c>
      <c r="AH237" t="str">
        <f>""</f>
        <v/>
      </c>
      <c r="AI237" t="str">
        <f>"621610"</f>
        <v>621610</v>
      </c>
      <c r="AJ237" t="s">
        <v>79</v>
      </c>
      <c r="AK237" t="s">
        <v>79</v>
      </c>
      <c r="AL237" t="s">
        <v>80</v>
      </c>
      <c r="AM237" t="s">
        <v>79</v>
      </c>
      <c r="AP237" t="str">
        <f>"PHYSICAL THERAPIST"</f>
        <v>PHYSICAL THERAPIST</v>
      </c>
      <c r="AQ237" t="str">
        <f>"29-1123.00"</f>
        <v>29-1123.00</v>
      </c>
      <c r="AR237" t="str">
        <f>"Physical Therapists"</f>
        <v>Physical Therapists</v>
      </c>
      <c r="AS237" t="str">
        <f>"CLINICAL MANAGER"</f>
        <v>CLINICAL MANAGER</v>
      </c>
      <c r="AT237" t="s">
        <v>79</v>
      </c>
      <c r="AU237" t="str">
        <f>""</f>
        <v/>
      </c>
      <c r="AV237" t="str">
        <f>""</f>
        <v/>
      </c>
      <c r="AW237" t="s">
        <v>82</v>
      </c>
      <c r="AX237" t="str">
        <f>"FROM OFFICE TO PATIENT HOME"</f>
        <v>FROM OFFICE TO PATIENT HOME</v>
      </c>
      <c r="AY237" t="s">
        <v>95</v>
      </c>
      <c r="BA237" t="s">
        <v>1090</v>
      </c>
      <c r="BB237" t="s">
        <v>79</v>
      </c>
      <c r="BD237" t="s">
        <v>79</v>
      </c>
      <c r="BG237" t="s">
        <v>79</v>
      </c>
      <c r="BJ237" t="s">
        <v>1091</v>
      </c>
      <c r="BK237" t="str">
        <f>"BRI BLDG. KOPA DI ORU ST. GARAPAN"</f>
        <v>BRI BLDG. KOPA DI ORU ST. GARAPAN</v>
      </c>
      <c r="BL237" t="str">
        <f>"SUITE 103"</f>
        <v>SUITE 103</v>
      </c>
      <c r="BM237" t="str">
        <f>"SAIPAN"</f>
        <v>SAIPAN</v>
      </c>
      <c r="BO237" t="s">
        <v>83</v>
      </c>
      <c r="BP237" s="4" t="str">
        <f t="shared" si="157"/>
        <v>96950</v>
      </c>
      <c r="BQ237" t="s">
        <v>79</v>
      </c>
      <c r="BR237" t="str">
        <f>"29-1123.00"</f>
        <v>29-1123.00</v>
      </c>
      <c r="BS237" t="s">
        <v>1088</v>
      </c>
      <c r="BT237" s="3">
        <v>43</v>
      </c>
      <c r="BU237" t="s">
        <v>80</v>
      </c>
      <c r="BV237" t="s">
        <v>90</v>
      </c>
      <c r="BW237" t="s">
        <v>92</v>
      </c>
      <c r="BZ237" s="1">
        <v>45107</v>
      </c>
    </row>
    <row r="238" spans="1:78" ht="15" customHeight="1" x14ac:dyDescent="0.25">
      <c r="A238" t="s">
        <v>1092</v>
      </c>
      <c r="B238" t="s">
        <v>94</v>
      </c>
      <c r="C238" s="1">
        <v>44854</v>
      </c>
      <c r="D238" s="1">
        <v>44895</v>
      </c>
      <c r="H238" t="s">
        <v>78</v>
      </c>
      <c r="I238" t="str">
        <f>"RAMOS"</f>
        <v>RAMOS</v>
      </c>
      <c r="J238" t="str">
        <f>"GIA"</f>
        <v>GIA</v>
      </c>
      <c r="K238" t="str">
        <f>"BLANCAFLOR"</f>
        <v>BLANCAFLOR</v>
      </c>
      <c r="L238" t="str">
        <f>"PRESIDENT"</f>
        <v>PRESIDENT</v>
      </c>
      <c r="M238" t="str">
        <f>"PO BOX 9663"</f>
        <v>PO BOX 9663</v>
      </c>
      <c r="N238" t="str">
        <f>""</f>
        <v/>
      </c>
      <c r="O238" t="str">
        <f>"TAMUNING"</f>
        <v>TAMUNING</v>
      </c>
      <c r="P238" t="str">
        <f>"GU"</f>
        <v>GU</v>
      </c>
      <c r="Q238" s="4" t="str">
        <f>"96931"</f>
        <v>96931</v>
      </c>
      <c r="R238" t="str">
        <f t="shared" si="132"/>
        <v>UNITED STATES OF AMERICA</v>
      </c>
      <c r="S238" t="str">
        <f>"NA"</f>
        <v>NA</v>
      </c>
      <c r="T238" s="5" t="str">
        <f>"16716498746"</f>
        <v>16716498746</v>
      </c>
      <c r="U238" t="str">
        <f>"203"</f>
        <v>203</v>
      </c>
      <c r="V238" s="5" t="str">
        <f>""</f>
        <v/>
      </c>
      <c r="W238" t="str">
        <f>"admin@hhcare.co"</f>
        <v>admin@hhcare.co</v>
      </c>
      <c r="X238" t="str">
        <f>"TRI ENTERPRISES, INC."</f>
        <v>TRI ENTERPRISES, INC.</v>
      </c>
      <c r="Y238" t="str">
        <f>"MARIANAS VISITING NURSES"</f>
        <v>MARIANAS VISITING NURSES</v>
      </c>
      <c r="Z238" t="str">
        <f>"BRI BLDG. KOPA DI ORU ST. GARAPAN"</f>
        <v>BRI BLDG. KOPA DI ORU ST. GARAPAN</v>
      </c>
      <c r="AA238" t="str">
        <f>"SUITE 104"</f>
        <v>SUITE 104</v>
      </c>
      <c r="AB238" t="str">
        <f>"SAIPAN"</f>
        <v>SAIPAN</v>
      </c>
      <c r="AC238" t="str">
        <f t="shared" si="141"/>
        <v>MP</v>
      </c>
      <c r="AD238" t="str">
        <f t="shared" si="156"/>
        <v>96950</v>
      </c>
      <c r="AE238" t="str">
        <f t="shared" si="142"/>
        <v>UNITED STATES OF AMERICA</v>
      </c>
      <c r="AF238" t="str">
        <f>"NA"</f>
        <v>NA</v>
      </c>
      <c r="AG238" s="4" t="str">
        <f>"16703236877"</f>
        <v>16703236877</v>
      </c>
      <c r="AH238" t="str">
        <f>""</f>
        <v/>
      </c>
      <c r="AI238" t="str">
        <f>"62161"</f>
        <v>62161</v>
      </c>
      <c r="AJ238" t="s">
        <v>79</v>
      </c>
      <c r="AK238" t="s">
        <v>79</v>
      </c>
      <c r="AL238" t="s">
        <v>80</v>
      </c>
      <c r="AM238" t="s">
        <v>79</v>
      </c>
      <c r="AP238" t="str">
        <f>"REGISTERED NURSE"</f>
        <v>REGISTERED NURSE</v>
      </c>
      <c r="AQ238" t="str">
        <f>"29-1141.00"</f>
        <v>29-1141.00</v>
      </c>
      <c r="AR238" t="str">
        <f>"Registered Nurses"</f>
        <v>Registered Nurses</v>
      </c>
      <c r="AS238" t="str">
        <f>"CLINICAL MANAGER"</f>
        <v>CLINICAL MANAGER</v>
      </c>
      <c r="AT238" t="s">
        <v>79</v>
      </c>
      <c r="AU238" t="str">
        <f>""</f>
        <v/>
      </c>
      <c r="AV238" t="str">
        <f>""</f>
        <v/>
      </c>
      <c r="AW238" t="s">
        <v>82</v>
      </c>
      <c r="AX238" t="str">
        <f>"FROM OFFICE TO PATIENT HOME"</f>
        <v>FROM OFFICE TO PATIENT HOME</v>
      </c>
      <c r="AY238" t="s">
        <v>124</v>
      </c>
      <c r="BA238" t="s">
        <v>1093</v>
      </c>
      <c r="BB238" t="s">
        <v>79</v>
      </c>
      <c r="BD238" t="s">
        <v>79</v>
      </c>
      <c r="BG238" t="s">
        <v>79</v>
      </c>
      <c r="BJ238" s="2" t="s">
        <v>1094</v>
      </c>
      <c r="BK238" t="str">
        <f>"BRI BLDG. KOPA DI ORU ST. GARAPAN"</f>
        <v>BRI BLDG. KOPA DI ORU ST. GARAPAN</v>
      </c>
      <c r="BL238" t="str">
        <f>"SUITE 104"</f>
        <v>SUITE 104</v>
      </c>
      <c r="BM238" t="str">
        <f>"SAIPAN"</f>
        <v>SAIPAN</v>
      </c>
      <c r="BO238" t="s">
        <v>83</v>
      </c>
      <c r="BP238" s="4" t="str">
        <f t="shared" si="157"/>
        <v>96950</v>
      </c>
      <c r="BQ238" t="s">
        <v>79</v>
      </c>
      <c r="BR238" t="str">
        <f>"29-1141.00"</f>
        <v>29-1141.00</v>
      </c>
      <c r="BS238" t="s">
        <v>1095</v>
      </c>
      <c r="BT238" s="3">
        <v>22.22</v>
      </c>
      <c r="BU238" t="s">
        <v>80</v>
      </c>
      <c r="BV238" t="s">
        <v>90</v>
      </c>
      <c r="BW238" t="s">
        <v>92</v>
      </c>
      <c r="BZ238" s="1">
        <v>45107</v>
      </c>
    </row>
    <row r="239" spans="1:78" ht="15" customHeight="1" x14ac:dyDescent="0.25">
      <c r="A239" t="s">
        <v>1096</v>
      </c>
      <c r="B239" t="s">
        <v>94</v>
      </c>
      <c r="C239" s="1">
        <v>44854</v>
      </c>
      <c r="D239" s="1">
        <v>44895</v>
      </c>
      <c r="H239" t="s">
        <v>78</v>
      </c>
      <c r="I239" t="str">
        <f>"RAMOS"</f>
        <v>RAMOS</v>
      </c>
      <c r="J239" t="str">
        <f>"GIA"</f>
        <v>GIA</v>
      </c>
      <c r="K239" t="str">
        <f>"BLANCAFLOR"</f>
        <v>BLANCAFLOR</v>
      </c>
      <c r="L239" t="str">
        <f>"PRESIDENT"</f>
        <v>PRESIDENT</v>
      </c>
      <c r="M239" t="str">
        <f>"PO BOX 9663"</f>
        <v>PO BOX 9663</v>
      </c>
      <c r="N239" t="str">
        <f>""</f>
        <v/>
      </c>
      <c r="O239" t="str">
        <f>"TAMUNING"</f>
        <v>TAMUNING</v>
      </c>
      <c r="P239" t="str">
        <f>"GU"</f>
        <v>GU</v>
      </c>
      <c r="Q239" s="4" t="str">
        <f>"96931"</f>
        <v>96931</v>
      </c>
      <c r="R239" t="str">
        <f t="shared" si="132"/>
        <v>UNITED STATES OF AMERICA</v>
      </c>
      <c r="S239" t="str">
        <f>"NA"</f>
        <v>NA</v>
      </c>
      <c r="T239" s="5" t="str">
        <f>"16716498746"</f>
        <v>16716498746</v>
      </c>
      <c r="U239" t="str">
        <f>"203"</f>
        <v>203</v>
      </c>
      <c r="V239" s="5" t="str">
        <f>""</f>
        <v/>
      </c>
      <c r="W239" t="str">
        <f>"admin@hhcare.co"</f>
        <v>admin@hhcare.co</v>
      </c>
      <c r="X239" t="str">
        <f>"TRI ENTERPRISES, INC."</f>
        <v>TRI ENTERPRISES, INC.</v>
      </c>
      <c r="Y239" t="str">
        <f>"MARIANAS VISITING NURSES"</f>
        <v>MARIANAS VISITING NURSES</v>
      </c>
      <c r="Z239" t="str">
        <f>"BRI BLDG. KOPA DI ORU ST. GARAPAN"</f>
        <v>BRI BLDG. KOPA DI ORU ST. GARAPAN</v>
      </c>
      <c r="AA239" t="str">
        <f>"SUITE 104"</f>
        <v>SUITE 104</v>
      </c>
      <c r="AB239" t="str">
        <f>"SAIPAN"</f>
        <v>SAIPAN</v>
      </c>
      <c r="AC239" t="str">
        <f t="shared" si="141"/>
        <v>MP</v>
      </c>
      <c r="AD239" t="str">
        <f t="shared" si="156"/>
        <v>96950</v>
      </c>
      <c r="AE239" t="str">
        <f t="shared" si="142"/>
        <v>UNITED STATES OF AMERICA</v>
      </c>
      <c r="AF239" t="str">
        <f>"NA"</f>
        <v>NA</v>
      </c>
      <c r="AG239" s="4" t="str">
        <f>"16703236877"</f>
        <v>16703236877</v>
      </c>
      <c r="AH239" t="str">
        <f>""</f>
        <v/>
      </c>
      <c r="AI239" t="str">
        <f>"62161"</f>
        <v>62161</v>
      </c>
      <c r="AJ239" t="s">
        <v>79</v>
      </c>
      <c r="AK239" t="s">
        <v>79</v>
      </c>
      <c r="AL239" t="s">
        <v>80</v>
      </c>
      <c r="AM239" t="s">
        <v>79</v>
      </c>
      <c r="AP239" t="str">
        <f>"PHYSICAL THERAPIST ASSISTANT"</f>
        <v>PHYSICAL THERAPIST ASSISTANT</v>
      </c>
      <c r="AQ239" t="str">
        <f>"31-2021.00"</f>
        <v>31-2021.00</v>
      </c>
      <c r="AR239" t="str">
        <f>"Physical Therapist Assistants"</f>
        <v>Physical Therapist Assistants</v>
      </c>
      <c r="AS239" t="str">
        <f>"CLINICAL MANAGER"</f>
        <v>CLINICAL MANAGER</v>
      </c>
      <c r="AT239" t="s">
        <v>79</v>
      </c>
      <c r="AU239" t="str">
        <f>""</f>
        <v/>
      </c>
      <c r="AV239" t="str">
        <f>""</f>
        <v/>
      </c>
      <c r="AW239" t="s">
        <v>82</v>
      </c>
      <c r="AX239" t="str">
        <f>"FROM OFFICE TO PATIENT HOME"</f>
        <v>FROM OFFICE TO PATIENT HOME</v>
      </c>
      <c r="AY239" t="s">
        <v>124</v>
      </c>
      <c r="BA239" t="s">
        <v>433</v>
      </c>
      <c r="BB239" t="s">
        <v>79</v>
      </c>
      <c r="BD239" t="s">
        <v>79</v>
      </c>
      <c r="BG239" t="s">
        <v>79</v>
      </c>
      <c r="BJ239" s="2" t="s">
        <v>1097</v>
      </c>
      <c r="BK239" t="str">
        <f>"BRI BLDG. KOPA DI ORU ST. GARAPAN"</f>
        <v>BRI BLDG. KOPA DI ORU ST. GARAPAN</v>
      </c>
      <c r="BL239" t="str">
        <f>"SUITE 104 B"</f>
        <v>SUITE 104 B</v>
      </c>
      <c r="BM239" t="str">
        <f>"SAIPAN"</f>
        <v>SAIPAN</v>
      </c>
      <c r="BO239" t="s">
        <v>83</v>
      </c>
      <c r="BP239" s="4" t="str">
        <f t="shared" si="157"/>
        <v>96950</v>
      </c>
      <c r="BQ239" t="s">
        <v>79</v>
      </c>
      <c r="BR239" t="str">
        <f>"31-2021.00"</f>
        <v>31-2021.00</v>
      </c>
      <c r="BS239" t="s">
        <v>435</v>
      </c>
      <c r="BT239" s="3">
        <v>19.86</v>
      </c>
      <c r="BU239" t="s">
        <v>80</v>
      </c>
      <c r="BV239" t="s">
        <v>90</v>
      </c>
      <c r="BW239" t="s">
        <v>265</v>
      </c>
      <c r="BZ239" s="1">
        <v>45107</v>
      </c>
    </row>
    <row r="240" spans="1:78" ht="15" customHeight="1" x14ac:dyDescent="0.25">
      <c r="A240" t="s">
        <v>1098</v>
      </c>
      <c r="B240" t="s">
        <v>94</v>
      </c>
      <c r="C240" s="1">
        <v>44854</v>
      </c>
      <c r="D240" s="1">
        <v>44895</v>
      </c>
      <c r="H240" t="s">
        <v>78</v>
      </c>
      <c r="I240" t="str">
        <f>"RAMOS"</f>
        <v>RAMOS</v>
      </c>
      <c r="J240" t="str">
        <f>"GIA"</f>
        <v>GIA</v>
      </c>
      <c r="K240" t="str">
        <f>"BLANCAFLOR"</f>
        <v>BLANCAFLOR</v>
      </c>
      <c r="L240" t="str">
        <f>"PRESIDENT"</f>
        <v>PRESIDENT</v>
      </c>
      <c r="M240" t="str">
        <f>"PO BOX 9663"</f>
        <v>PO BOX 9663</v>
      </c>
      <c r="N240" t="str">
        <f>""</f>
        <v/>
      </c>
      <c r="O240" t="str">
        <f>"TAMUNING"</f>
        <v>TAMUNING</v>
      </c>
      <c r="P240" t="str">
        <f>"GU"</f>
        <v>GU</v>
      </c>
      <c r="Q240" s="4" t="str">
        <f>"96931"</f>
        <v>96931</v>
      </c>
      <c r="R240" t="str">
        <f t="shared" si="132"/>
        <v>UNITED STATES OF AMERICA</v>
      </c>
      <c r="S240" t="str">
        <f>"NA"</f>
        <v>NA</v>
      </c>
      <c r="T240" s="5" t="str">
        <f>"16716498746"</f>
        <v>16716498746</v>
      </c>
      <c r="U240" t="str">
        <f>"203"</f>
        <v>203</v>
      </c>
      <c r="V240" s="5" t="str">
        <f>""</f>
        <v/>
      </c>
      <c r="W240" t="str">
        <f>"admin@hhcare.co"</f>
        <v>admin@hhcare.co</v>
      </c>
      <c r="X240" t="str">
        <f>"MVN, INC."</f>
        <v>MVN, INC.</v>
      </c>
      <c r="Y240" t="str">
        <f>"PT REHAB CENTER"</f>
        <v>PT REHAB CENTER</v>
      </c>
      <c r="Z240" t="str">
        <f>"BRI BUILDING KOPA DI ORU ST. GARAPAN"</f>
        <v>BRI BUILDING KOPA DI ORU ST. GARAPAN</v>
      </c>
      <c r="AA240" t="str">
        <f>"SUITE 103"</f>
        <v>SUITE 103</v>
      </c>
      <c r="AB240" t="str">
        <f>"SAIPAN"</f>
        <v>SAIPAN</v>
      </c>
      <c r="AC240" t="str">
        <f t="shared" si="141"/>
        <v>MP</v>
      </c>
      <c r="AD240" t="str">
        <f t="shared" si="156"/>
        <v>96950</v>
      </c>
      <c r="AE240" t="str">
        <f t="shared" si="142"/>
        <v>UNITED STATES OF AMERICA</v>
      </c>
      <c r="AF240" t="str">
        <f>"NA"</f>
        <v>NA</v>
      </c>
      <c r="AG240" s="4" t="str">
        <f>"16703236877"</f>
        <v>16703236877</v>
      </c>
      <c r="AH240" t="str">
        <f>""</f>
        <v/>
      </c>
      <c r="AI240" t="str">
        <f>"62161"</f>
        <v>62161</v>
      </c>
      <c r="AJ240" t="s">
        <v>79</v>
      </c>
      <c r="AK240" t="s">
        <v>79</v>
      </c>
      <c r="AL240" t="s">
        <v>80</v>
      </c>
      <c r="AM240" t="s">
        <v>79</v>
      </c>
      <c r="AP240" t="str">
        <f>"PHYSICAL THERAPIST ASSISTANT"</f>
        <v>PHYSICAL THERAPIST ASSISTANT</v>
      </c>
      <c r="AQ240" t="str">
        <f>"31-2021.00"</f>
        <v>31-2021.00</v>
      </c>
      <c r="AR240" t="str">
        <f>"Physical Therapist Assistants"</f>
        <v>Physical Therapist Assistants</v>
      </c>
      <c r="AS240" t="str">
        <f>"CLINICAL MANAGER"</f>
        <v>CLINICAL MANAGER</v>
      </c>
      <c r="AT240" t="s">
        <v>79</v>
      </c>
      <c r="AU240" t="str">
        <f>""</f>
        <v/>
      </c>
      <c r="AV240" t="str">
        <f>""</f>
        <v/>
      </c>
      <c r="AW240" t="s">
        <v>82</v>
      </c>
      <c r="AX240" t="str">
        <f>"FROM OFFICE TO PATIENT HOME"</f>
        <v>FROM OFFICE TO PATIENT HOME</v>
      </c>
      <c r="AY240" t="s">
        <v>124</v>
      </c>
      <c r="BA240" t="s">
        <v>433</v>
      </c>
      <c r="BB240" t="s">
        <v>79</v>
      </c>
      <c r="BD240" t="s">
        <v>79</v>
      </c>
      <c r="BG240" t="s">
        <v>79</v>
      </c>
      <c r="BJ240" t="s">
        <v>434</v>
      </c>
      <c r="BK240" t="str">
        <f>"BRI BUILDING KOPA DI ORU ST. GARAPAN"</f>
        <v>BRI BUILDING KOPA DI ORU ST. GARAPAN</v>
      </c>
      <c r="BL240" t="str">
        <f>"SUITE 103"</f>
        <v>SUITE 103</v>
      </c>
      <c r="BM240" t="str">
        <f>"SAIPAN"</f>
        <v>SAIPAN</v>
      </c>
      <c r="BO240" t="s">
        <v>83</v>
      </c>
      <c r="BP240" s="4" t="str">
        <f t="shared" si="157"/>
        <v>96950</v>
      </c>
      <c r="BQ240" t="s">
        <v>79</v>
      </c>
      <c r="BR240" t="str">
        <f>"31-2021.00"</f>
        <v>31-2021.00</v>
      </c>
      <c r="BS240" t="s">
        <v>435</v>
      </c>
      <c r="BT240" s="3">
        <v>19.86</v>
      </c>
      <c r="BU240" t="s">
        <v>80</v>
      </c>
      <c r="BV240" t="s">
        <v>90</v>
      </c>
      <c r="BW240" t="s">
        <v>265</v>
      </c>
      <c r="BZ240" s="1">
        <v>45107</v>
      </c>
    </row>
    <row r="241" spans="1:78" ht="15" customHeight="1" x14ac:dyDescent="0.25">
      <c r="A241" t="s">
        <v>1099</v>
      </c>
      <c r="B241" t="s">
        <v>94</v>
      </c>
      <c r="C241" s="1">
        <v>44854</v>
      </c>
      <c r="D241" s="1">
        <v>44895</v>
      </c>
      <c r="H241" t="s">
        <v>78</v>
      </c>
      <c r="I241" t="str">
        <f>"BELTRAN"</f>
        <v>BELTRAN</v>
      </c>
      <c r="J241" t="str">
        <f>"MARIA"</f>
        <v>MARIA</v>
      </c>
      <c r="K241" t="str">
        <f>"BUTIONG"</f>
        <v>BUTIONG</v>
      </c>
      <c r="L241" t="str">
        <f>"Accounting Manager"</f>
        <v>Accounting Manager</v>
      </c>
      <c r="M241" t="str">
        <f>"PMB 1020 PO Box 10000"</f>
        <v>PMB 1020 PO Box 10000</v>
      </c>
      <c r="N241" t="str">
        <f>"Kagman Rd Rte 34"</f>
        <v>Kagman Rd Rte 34</v>
      </c>
      <c r="O241" t="str">
        <f>"Saipan"</f>
        <v>Saipan</v>
      </c>
      <c r="P241" t="str">
        <f t="shared" ref="P241:P268" si="158">"MP"</f>
        <v>MP</v>
      </c>
      <c r="Q241" s="4" t="str">
        <f t="shared" ref="Q241:Q268" si="159">"96950"</f>
        <v>96950</v>
      </c>
      <c r="R241" t="str">
        <f t="shared" si="132"/>
        <v>UNITED STATES OF AMERICA</v>
      </c>
      <c r="S241" t="str">
        <f>"Kagman III"</f>
        <v>Kagman III</v>
      </c>
      <c r="T241" s="5" t="str">
        <f>"16702368874"</f>
        <v>16702368874</v>
      </c>
      <c r="U241" t="str">
        <f>""</f>
        <v/>
      </c>
      <c r="V241" s="5" t="str">
        <f>""</f>
        <v/>
      </c>
      <c r="W241" t="str">
        <f>"mbeltran@laolaobaygolf.com"</f>
        <v>mbeltran@laolaobaygolf.com</v>
      </c>
      <c r="X241" t="str">
        <f>"Saipan Laulau Development, Inc."</f>
        <v>Saipan Laulau Development, Inc.</v>
      </c>
      <c r="Y241" t="str">
        <f>"Laolao Bay Golf and Resort"</f>
        <v>Laolao Bay Golf and Resort</v>
      </c>
      <c r="Z241" t="str">
        <f>"PMB 1020 PO Box 10000"</f>
        <v>PMB 1020 PO Box 10000</v>
      </c>
      <c r="AA241" t="str">
        <f>"Kagman Rd Rte 34"</f>
        <v>Kagman Rd Rte 34</v>
      </c>
      <c r="AB241" t="str">
        <f>"Saipan"</f>
        <v>Saipan</v>
      </c>
      <c r="AC241" t="str">
        <f t="shared" si="141"/>
        <v>MP</v>
      </c>
      <c r="AD241" t="str">
        <f t="shared" si="156"/>
        <v>96950</v>
      </c>
      <c r="AE241" t="str">
        <f t="shared" si="142"/>
        <v>UNITED STATES OF AMERICA</v>
      </c>
      <c r="AF241" t="str">
        <f>"Kagman III"</f>
        <v>Kagman III</v>
      </c>
      <c r="AG241" s="4" t="str">
        <f>"16702368888"</f>
        <v>16702368888</v>
      </c>
      <c r="AH241" t="str">
        <f>""</f>
        <v/>
      </c>
      <c r="AI241" t="str">
        <f>"713910"</f>
        <v>713910</v>
      </c>
      <c r="AJ241" t="s">
        <v>79</v>
      </c>
      <c r="AK241" t="s">
        <v>79</v>
      </c>
      <c r="AL241" t="s">
        <v>80</v>
      </c>
      <c r="AM241" t="s">
        <v>79</v>
      </c>
      <c r="AP241" t="str">
        <f>"Accounting Associate"</f>
        <v>Accounting Associate</v>
      </c>
      <c r="AQ241" t="str">
        <f>"43-3031.00"</f>
        <v>43-3031.00</v>
      </c>
      <c r="AR241" t="str">
        <f>"Bookkeeping, Accounting, and Auditing Clerks"</f>
        <v>Bookkeeping, Accounting, and Auditing Clerks</v>
      </c>
      <c r="AS241" t="str">
        <f>"Accounting Manager"</f>
        <v>Accounting Manager</v>
      </c>
      <c r="AT241" t="s">
        <v>79</v>
      </c>
      <c r="AU241" t="str">
        <f>""</f>
        <v/>
      </c>
      <c r="AV241" t="str">
        <f>""</f>
        <v/>
      </c>
      <c r="AW241" t="s">
        <v>79</v>
      </c>
      <c r="AX241" t="str">
        <f>""</f>
        <v/>
      </c>
      <c r="AY241" t="s">
        <v>124</v>
      </c>
      <c r="BA241" t="s">
        <v>130</v>
      </c>
      <c r="BB241" t="s">
        <v>79</v>
      </c>
      <c r="BD241" t="s">
        <v>79</v>
      </c>
      <c r="BG241" t="s">
        <v>82</v>
      </c>
      <c r="BH241">
        <v>24</v>
      </c>
      <c r="BI241" t="s">
        <v>1100</v>
      </c>
      <c r="BJ241" t="s">
        <v>1101</v>
      </c>
      <c r="BK241" t="str">
        <f>"Kagman Road RTE 34 Kagman III"</f>
        <v>Kagman Road RTE 34 Kagman III</v>
      </c>
      <c r="BL241" t="str">
        <f>"N/A"</f>
        <v>N/A</v>
      </c>
      <c r="BM241" t="str">
        <f>"Saipan"</f>
        <v>Saipan</v>
      </c>
      <c r="BO241" t="s">
        <v>83</v>
      </c>
      <c r="BP241" s="4" t="str">
        <f t="shared" si="157"/>
        <v>96950</v>
      </c>
      <c r="BQ241" t="s">
        <v>79</v>
      </c>
      <c r="BR241" t="str">
        <f>"43-3031.00"</f>
        <v>43-3031.00</v>
      </c>
      <c r="BS241" t="s">
        <v>142</v>
      </c>
      <c r="BT241" s="3">
        <v>11.21</v>
      </c>
      <c r="BU241" t="s">
        <v>80</v>
      </c>
      <c r="BV241" t="s">
        <v>90</v>
      </c>
      <c r="BW241" t="s">
        <v>92</v>
      </c>
      <c r="BZ241" s="1">
        <v>45107</v>
      </c>
    </row>
    <row r="242" spans="1:78" ht="15" customHeight="1" x14ac:dyDescent="0.25">
      <c r="A242" t="s">
        <v>1105</v>
      </c>
      <c r="B242" t="s">
        <v>94</v>
      </c>
      <c r="C242" s="1">
        <v>44854</v>
      </c>
      <c r="D242" s="1">
        <v>44895</v>
      </c>
      <c r="H242" t="s">
        <v>78</v>
      </c>
      <c r="I242" t="str">
        <f>"MOLLICK"</f>
        <v>MOLLICK</v>
      </c>
      <c r="J242" t="str">
        <f>"AKHIL CHANDRA"</f>
        <v>AKHIL CHANDRA</v>
      </c>
      <c r="K242" t="str">
        <f>"N/A"</f>
        <v>N/A</v>
      </c>
      <c r="L242" t="str">
        <f>"PROPRIETOR"</f>
        <v>PROPRIETOR</v>
      </c>
      <c r="M242" t="str">
        <f>"P.O. BOX 502555, LOWER NAVY HILL"</f>
        <v>P.O. BOX 502555, LOWER NAVY HILL</v>
      </c>
      <c r="N242" t="str">
        <f>"GARAPAN"</f>
        <v>GARAPAN</v>
      </c>
      <c r="O242" t="str">
        <f>"SAIPAN"</f>
        <v>SAIPAN</v>
      </c>
      <c r="P242" t="str">
        <f t="shared" si="158"/>
        <v>MP</v>
      </c>
      <c r="Q242" s="4" t="str">
        <f t="shared" si="159"/>
        <v>96950</v>
      </c>
      <c r="R242" t="str">
        <f t="shared" si="132"/>
        <v>UNITED STATES OF AMERICA</v>
      </c>
      <c r="S242" t="str">
        <f>"MP"</f>
        <v>MP</v>
      </c>
      <c r="T242" s="5" t="str">
        <f>"16702873600"</f>
        <v>16702873600</v>
      </c>
      <c r="U242" t="str">
        <f>""</f>
        <v/>
      </c>
      <c r="V242" s="5" t="str">
        <f>""</f>
        <v/>
      </c>
      <c r="W242" t="str">
        <f>"akhilchandramollick@yahoo.com"</f>
        <v>akhilchandramollick@yahoo.com</v>
      </c>
      <c r="X242" t="str">
        <f>"AKHIL CHANDRA MOLLICK"</f>
        <v>AKHIL CHANDRA MOLLICK</v>
      </c>
      <c r="Y242" t="str">
        <f>"MOLLICK ENTERPRISES"</f>
        <v>MOLLICK ENTERPRISES</v>
      </c>
      <c r="Z242" t="str">
        <f>"P.O. BOX 502555, LOWER NAVY HILL"</f>
        <v>P.O. BOX 502555, LOWER NAVY HILL</v>
      </c>
      <c r="AA242" t="str">
        <f>"GARAPAN"</f>
        <v>GARAPAN</v>
      </c>
      <c r="AB242" t="str">
        <f>"SAIPAN"</f>
        <v>SAIPAN</v>
      </c>
      <c r="AC242" t="str">
        <f t="shared" si="141"/>
        <v>MP</v>
      </c>
      <c r="AD242" t="str">
        <f t="shared" si="156"/>
        <v>96950</v>
      </c>
      <c r="AE242" t="str">
        <f t="shared" si="142"/>
        <v>UNITED STATES OF AMERICA</v>
      </c>
      <c r="AF242" t="str">
        <f>"MP"</f>
        <v>MP</v>
      </c>
      <c r="AG242" s="4" t="str">
        <f>"16702873600"</f>
        <v>16702873600</v>
      </c>
      <c r="AH242" t="str">
        <f>""</f>
        <v/>
      </c>
      <c r="AI242" t="str">
        <f>"561612"</f>
        <v>561612</v>
      </c>
      <c r="AJ242" t="s">
        <v>79</v>
      </c>
      <c r="AK242" t="s">
        <v>79</v>
      </c>
      <c r="AL242" t="s">
        <v>80</v>
      </c>
      <c r="AM242" t="s">
        <v>79</v>
      </c>
      <c r="AP242" t="str">
        <f>"SECURITY GUARD"</f>
        <v>SECURITY GUARD</v>
      </c>
      <c r="AQ242" t="str">
        <f>"33-9032.00"</f>
        <v>33-9032.00</v>
      </c>
      <c r="AR242" t="str">
        <f>"Security Guards"</f>
        <v>Security Guards</v>
      </c>
      <c r="AS242" t="str">
        <f>"MANAGER"</f>
        <v>MANAGER</v>
      </c>
      <c r="AT242" t="s">
        <v>79</v>
      </c>
      <c r="AU242" t="str">
        <f>""</f>
        <v/>
      </c>
      <c r="AV242" t="str">
        <f>""</f>
        <v/>
      </c>
      <c r="AW242" t="s">
        <v>79</v>
      </c>
      <c r="AX242" t="str">
        <f>""</f>
        <v/>
      </c>
      <c r="AY242" t="s">
        <v>81</v>
      </c>
      <c r="BA242" t="s">
        <v>80</v>
      </c>
      <c r="BB242" t="s">
        <v>79</v>
      </c>
      <c r="BD242" t="s">
        <v>79</v>
      </c>
      <c r="BG242" t="s">
        <v>82</v>
      </c>
      <c r="BH242">
        <v>6</v>
      </c>
      <c r="BI242" t="s">
        <v>1106</v>
      </c>
      <c r="BJ242" t="s">
        <v>1107</v>
      </c>
      <c r="BK242" t="str">
        <f>"LOWER NAVY HILL"</f>
        <v>LOWER NAVY HILL</v>
      </c>
      <c r="BL242" t="str">
        <f>"GARAPAN"</f>
        <v>GARAPAN</v>
      </c>
      <c r="BM242" t="str">
        <f>"SAIPAN"</f>
        <v>SAIPAN</v>
      </c>
      <c r="BO242" t="s">
        <v>83</v>
      </c>
      <c r="BP242" s="4" t="str">
        <f t="shared" si="157"/>
        <v>96950</v>
      </c>
      <c r="BQ242" t="s">
        <v>79</v>
      </c>
      <c r="BR242" t="str">
        <f>"33-9032.00"</f>
        <v>33-9032.00</v>
      </c>
      <c r="BS242" t="s">
        <v>1108</v>
      </c>
      <c r="BT242" s="3">
        <v>8.64</v>
      </c>
      <c r="BU242" t="s">
        <v>80</v>
      </c>
      <c r="BV242" t="s">
        <v>90</v>
      </c>
      <c r="BW242" t="s">
        <v>92</v>
      </c>
      <c r="BZ242" s="1">
        <v>45107</v>
      </c>
    </row>
    <row r="243" spans="1:78" ht="15" customHeight="1" x14ac:dyDescent="0.25">
      <c r="A243" t="s">
        <v>1120</v>
      </c>
      <c r="B243" t="s">
        <v>94</v>
      </c>
      <c r="C243" s="1">
        <v>44854</v>
      </c>
      <c r="D243" s="1">
        <v>44895</v>
      </c>
      <c r="H243" t="s">
        <v>78</v>
      </c>
      <c r="I243" t="str">
        <f>"SHEU"</f>
        <v>SHEU</v>
      </c>
      <c r="J243" t="str">
        <f>"MICHAEL"</f>
        <v>MICHAEL</v>
      </c>
      <c r="K243" t="str">
        <f>"UNPINGCO"</f>
        <v>UNPINGCO</v>
      </c>
      <c r="L243" t="str">
        <f>"PRESIDENT"</f>
        <v>PRESIDENT</v>
      </c>
      <c r="M243" t="str">
        <f>"3786 AFETNAS ROAD SAN ANTONIO"</f>
        <v>3786 AFETNAS ROAD SAN ANTONIO</v>
      </c>
      <c r="N243" t="str">
        <f>""</f>
        <v/>
      </c>
      <c r="O243" t="str">
        <f>"SAIPAN"</f>
        <v>SAIPAN</v>
      </c>
      <c r="P243" t="str">
        <f t="shared" si="158"/>
        <v>MP</v>
      </c>
      <c r="Q243" s="4" t="str">
        <f t="shared" si="159"/>
        <v>96950</v>
      </c>
      <c r="R243" t="str">
        <f t="shared" si="132"/>
        <v>UNITED STATES OF AMERICA</v>
      </c>
      <c r="S243" t="str">
        <f>""</f>
        <v/>
      </c>
      <c r="T243" s="5" t="str">
        <f>"16702358748"</f>
        <v>16702358748</v>
      </c>
      <c r="U243" t="str">
        <f>""</f>
        <v/>
      </c>
      <c r="V243" s="5" t="str">
        <f>""</f>
        <v/>
      </c>
      <c r="W243" t="str">
        <f>"hongye-mei@hotmail.com"</f>
        <v>hongye-mei@hotmail.com</v>
      </c>
      <c r="X243" t="str">
        <f>"HONG YE RENTAL &amp; CONSTRUCTION LTD"</f>
        <v>HONG YE RENTAL &amp; CONSTRUCTION LTD</v>
      </c>
      <c r="Y243" t="str">
        <f>""</f>
        <v/>
      </c>
      <c r="Z243" t="str">
        <f>"3786 AFETNAS ROAD SAN ANTONIO"</f>
        <v>3786 AFETNAS ROAD SAN ANTONIO</v>
      </c>
      <c r="AA243" t="str">
        <f>""</f>
        <v/>
      </c>
      <c r="AB243" t="str">
        <f>"SAIPAN"</f>
        <v>SAIPAN</v>
      </c>
      <c r="AC243" t="str">
        <f t="shared" si="141"/>
        <v>MP</v>
      </c>
      <c r="AD243" t="str">
        <f t="shared" si="156"/>
        <v>96950</v>
      </c>
      <c r="AE243" t="str">
        <f t="shared" si="142"/>
        <v>UNITED STATES OF AMERICA</v>
      </c>
      <c r="AF243" t="str">
        <f>""</f>
        <v/>
      </c>
      <c r="AG243" s="4" t="str">
        <f>"16702358748"</f>
        <v>16702358748</v>
      </c>
      <c r="AH243" t="str">
        <f>""</f>
        <v/>
      </c>
      <c r="AI243" t="str">
        <f>"561311"</f>
        <v>561311</v>
      </c>
      <c r="AJ243" t="s">
        <v>79</v>
      </c>
      <c r="AK243" t="s">
        <v>79</v>
      </c>
      <c r="AL243" t="s">
        <v>80</v>
      </c>
      <c r="AM243" t="s">
        <v>79</v>
      </c>
      <c r="AP243" t="str">
        <f>"FRONT DESK CLERK"</f>
        <v>FRONT DESK CLERK</v>
      </c>
      <c r="AQ243" t="str">
        <f>"43-4081.00"</f>
        <v>43-4081.00</v>
      </c>
      <c r="AR243" t="str">
        <f>"Hotel, Motel, and Resort Desk Clerks"</f>
        <v>Hotel, Motel, and Resort Desk Clerks</v>
      </c>
      <c r="AS243" t="str">
        <f>"HOTEL MANAGER"</f>
        <v>HOTEL MANAGER</v>
      </c>
      <c r="AT243" t="s">
        <v>79</v>
      </c>
      <c r="AU243" t="str">
        <f>""</f>
        <v/>
      </c>
      <c r="AV243" t="str">
        <f>""</f>
        <v/>
      </c>
      <c r="AW243" t="s">
        <v>79</v>
      </c>
      <c r="AX243" t="str">
        <f>""</f>
        <v/>
      </c>
      <c r="AY243" t="s">
        <v>84</v>
      </c>
      <c r="BA243" t="s">
        <v>80</v>
      </c>
      <c r="BB243" t="s">
        <v>79</v>
      </c>
      <c r="BD243" t="s">
        <v>79</v>
      </c>
      <c r="BG243" t="s">
        <v>82</v>
      </c>
      <c r="BH243">
        <v>12</v>
      </c>
      <c r="BI243" t="s">
        <v>1121</v>
      </c>
      <c r="BJ243" t="s">
        <v>115</v>
      </c>
      <c r="BK243" t="str">
        <f>"3786 AFETNAS ROAD SAN ANTONIO"</f>
        <v>3786 AFETNAS ROAD SAN ANTONIO</v>
      </c>
      <c r="BL243" t="str">
        <f>""</f>
        <v/>
      </c>
      <c r="BM243" t="str">
        <f>"SAIPAN"</f>
        <v>SAIPAN</v>
      </c>
      <c r="BO243" t="s">
        <v>83</v>
      </c>
      <c r="BP243" s="4" t="str">
        <f t="shared" si="157"/>
        <v>96950</v>
      </c>
      <c r="BQ243" t="s">
        <v>79</v>
      </c>
      <c r="BR243" t="str">
        <f>"43-4081.00"</f>
        <v>43-4081.00</v>
      </c>
      <c r="BS243" t="s">
        <v>563</v>
      </c>
      <c r="BT243" s="3">
        <v>8.08</v>
      </c>
      <c r="BU243" t="s">
        <v>80</v>
      </c>
      <c r="BV243" t="s">
        <v>90</v>
      </c>
      <c r="BW243" t="s">
        <v>92</v>
      </c>
      <c r="BZ243" s="1">
        <v>45107</v>
      </c>
    </row>
    <row r="244" spans="1:78" ht="15" customHeight="1" x14ac:dyDescent="0.25">
      <c r="A244" t="s">
        <v>1081</v>
      </c>
      <c r="B244" t="s">
        <v>94</v>
      </c>
      <c r="C244" s="1">
        <v>44853</v>
      </c>
      <c r="D244" s="1">
        <v>44895</v>
      </c>
      <c r="H244" t="s">
        <v>78</v>
      </c>
      <c r="I244" t="str">
        <f>"RIO"</f>
        <v>RIO</v>
      </c>
      <c r="J244" t="str">
        <f>"MARIA THERESA"</f>
        <v>MARIA THERESA</v>
      </c>
      <c r="K244" t="str">
        <f>"BALISACAN"</f>
        <v>BALISACAN</v>
      </c>
      <c r="L244" t="str">
        <f>"MANAGER"</f>
        <v>MANAGER</v>
      </c>
      <c r="M244" t="str">
        <f>"PO BOX 7908 SVRB"</f>
        <v>PO BOX 7908 SVRB</v>
      </c>
      <c r="N244" t="str">
        <f>""</f>
        <v/>
      </c>
      <c r="O244" t="str">
        <f>"SAIPAN"</f>
        <v>SAIPAN</v>
      </c>
      <c r="P244" t="str">
        <f t="shared" si="158"/>
        <v>MP</v>
      </c>
      <c r="Q244" s="4" t="str">
        <f t="shared" si="159"/>
        <v>96950</v>
      </c>
      <c r="R244" t="str">
        <f t="shared" si="132"/>
        <v>UNITED STATES OF AMERICA</v>
      </c>
      <c r="S244" t="str">
        <f>"CNMI"</f>
        <v>CNMI</v>
      </c>
      <c r="T244" s="5" t="str">
        <f>"16704830078"</f>
        <v>16704830078</v>
      </c>
      <c r="U244" t="str">
        <f>""</f>
        <v/>
      </c>
      <c r="V244" s="5" t="str">
        <f>""</f>
        <v/>
      </c>
      <c r="W244" t="str">
        <f>"tazcompany.llc@gmail.com"</f>
        <v>tazcompany.llc@gmail.com</v>
      </c>
      <c r="X244" t="str">
        <f>"TAZ CO. LLC"</f>
        <v>TAZ CO. LLC</v>
      </c>
      <c r="Y244" t="str">
        <f>"VELLEZA"</f>
        <v>VELLEZA</v>
      </c>
      <c r="Z244" t="str">
        <f>"PO BOX 7908 SVRB"</f>
        <v>PO BOX 7908 SVRB</v>
      </c>
      <c r="AA244" t="str">
        <f>""</f>
        <v/>
      </c>
      <c r="AB244" t="str">
        <f>"SAIPAN"</f>
        <v>SAIPAN</v>
      </c>
      <c r="AC244" t="str">
        <f t="shared" si="141"/>
        <v>MP</v>
      </c>
      <c r="AD244" t="str">
        <f t="shared" si="156"/>
        <v>96950</v>
      </c>
      <c r="AE244" t="str">
        <f t="shared" si="142"/>
        <v>UNITED STATES OF AMERICA</v>
      </c>
      <c r="AF244" t="str">
        <f>"CNMI"</f>
        <v>CNMI</v>
      </c>
      <c r="AG244" s="4" t="str">
        <f>"16704830078"</f>
        <v>16704830078</v>
      </c>
      <c r="AH244" t="str">
        <f>""</f>
        <v/>
      </c>
      <c r="AI244" t="str">
        <f>"812112"</f>
        <v>812112</v>
      </c>
      <c r="AJ244" t="s">
        <v>79</v>
      </c>
      <c r="AK244" t="s">
        <v>79</v>
      </c>
      <c r="AL244" t="s">
        <v>80</v>
      </c>
      <c r="AM244" t="s">
        <v>79</v>
      </c>
      <c r="AP244" t="str">
        <f>"BEAUTICIAN"</f>
        <v>BEAUTICIAN</v>
      </c>
      <c r="AQ244" t="str">
        <f>"39-5012.00"</f>
        <v>39-5012.00</v>
      </c>
      <c r="AR244" t="str">
        <f>"Hairdressers, Hairstylists, and Cosmetologists"</f>
        <v>Hairdressers, Hairstylists, and Cosmetologists</v>
      </c>
      <c r="AS244" t="str">
        <f>"MANAGER"</f>
        <v>MANAGER</v>
      </c>
      <c r="AT244" t="s">
        <v>79</v>
      </c>
      <c r="AU244" t="str">
        <f>""</f>
        <v/>
      </c>
      <c r="AV244" t="str">
        <f>""</f>
        <v/>
      </c>
      <c r="AW244" t="s">
        <v>79</v>
      </c>
      <c r="AX244" t="str">
        <f>""</f>
        <v/>
      </c>
      <c r="AY244" t="s">
        <v>84</v>
      </c>
      <c r="BA244" t="s">
        <v>119</v>
      </c>
      <c r="BB244" t="s">
        <v>79</v>
      </c>
      <c r="BD244" t="s">
        <v>82</v>
      </c>
      <c r="BE244">
        <v>3</v>
      </c>
      <c r="BF244" t="s">
        <v>87</v>
      </c>
      <c r="BG244" t="s">
        <v>82</v>
      </c>
      <c r="BH244">
        <v>24</v>
      </c>
      <c r="BI244" t="s">
        <v>87</v>
      </c>
      <c r="BJ244" t="s">
        <v>1082</v>
      </c>
      <c r="BK244" t="str">
        <f>"BEACH ROAD CHALAN KAONA"</f>
        <v>BEACH ROAD CHALAN KAONA</v>
      </c>
      <c r="BL244" t="str">
        <f>""</f>
        <v/>
      </c>
      <c r="BM244" t="str">
        <f>"SAIPAN"</f>
        <v>SAIPAN</v>
      </c>
      <c r="BO244" t="s">
        <v>83</v>
      </c>
      <c r="BP244" s="4" t="str">
        <f t="shared" si="157"/>
        <v>96950</v>
      </c>
      <c r="BQ244" t="s">
        <v>79</v>
      </c>
      <c r="BR244" t="str">
        <f>"39-5012.00"</f>
        <v>39-5012.00</v>
      </c>
      <c r="BS244" t="s">
        <v>184</v>
      </c>
      <c r="BT244" s="3">
        <v>7.88</v>
      </c>
      <c r="BU244" t="s">
        <v>80</v>
      </c>
      <c r="BV244" t="s">
        <v>90</v>
      </c>
      <c r="BW244" t="s">
        <v>92</v>
      </c>
      <c r="BZ244" s="1">
        <v>45107</v>
      </c>
    </row>
    <row r="245" spans="1:78" ht="15" customHeight="1" x14ac:dyDescent="0.25">
      <c r="A245" t="s">
        <v>1062</v>
      </c>
      <c r="B245" t="s">
        <v>94</v>
      </c>
      <c r="C245" s="1">
        <v>44852</v>
      </c>
      <c r="D245" s="1">
        <v>44895</v>
      </c>
      <c r="H245" t="s">
        <v>78</v>
      </c>
      <c r="I245" t="str">
        <f>"Avendano"</f>
        <v>Avendano</v>
      </c>
      <c r="J245" t="str">
        <f>"Fidelisa "</f>
        <v xml:space="preserve">Fidelisa </v>
      </c>
      <c r="K245" t="str">
        <f>"Cal"</f>
        <v>Cal</v>
      </c>
      <c r="L245" t="str">
        <f>"Authorized Representative"</f>
        <v>Authorized Representative</v>
      </c>
      <c r="M245" t="str">
        <f>"Chalan Pale Arnold, Chalan Lau Lau"</f>
        <v>Chalan Pale Arnold, Chalan Lau Lau</v>
      </c>
      <c r="N245" t="str">
        <f>""</f>
        <v/>
      </c>
      <c r="O245" t="str">
        <f>"Saipan"</f>
        <v>Saipan</v>
      </c>
      <c r="P245" t="str">
        <f t="shared" si="158"/>
        <v>MP</v>
      </c>
      <c r="Q245" s="4" t="str">
        <f t="shared" si="159"/>
        <v>96950</v>
      </c>
      <c r="R245" t="str">
        <f t="shared" si="132"/>
        <v>UNITED STATES OF AMERICA</v>
      </c>
      <c r="S245" t="str">
        <f>"N/A"</f>
        <v>N/A</v>
      </c>
      <c r="T245" s="5" t="str">
        <f>"16702346278"</f>
        <v>16702346278</v>
      </c>
      <c r="U245" t="str">
        <f>""</f>
        <v/>
      </c>
      <c r="V245" s="5" t="str">
        <f>""</f>
        <v/>
      </c>
      <c r="W245" t="str">
        <f>"cnmicw12019@gmail.com"</f>
        <v>cnmicw12019@gmail.com</v>
      </c>
      <c r="X245" t="str">
        <f>"Manju P. Hom"</f>
        <v>Manju P. Hom</v>
      </c>
      <c r="Y245" t="str">
        <f>"Java Joe's"</f>
        <v>Java Joe's</v>
      </c>
      <c r="Z245" t="str">
        <f>"Chalan Monsignor Guerrero / Rte 31 Dandan"</f>
        <v>Chalan Monsignor Guerrero / Rte 31 Dandan</v>
      </c>
      <c r="AA245" t="str">
        <f>"PMB 668 Box 10000"</f>
        <v>PMB 668 Box 10000</v>
      </c>
      <c r="AB245" t="str">
        <f>"Saipan"</f>
        <v>Saipan</v>
      </c>
      <c r="AC245" t="str">
        <f t="shared" si="141"/>
        <v>MP</v>
      </c>
      <c r="AD245" t="str">
        <f t="shared" si="156"/>
        <v>96950</v>
      </c>
      <c r="AE245" t="str">
        <f t="shared" si="142"/>
        <v>UNITED STATES OF AMERICA</v>
      </c>
      <c r="AF245" t="str">
        <f>"N/A"</f>
        <v>N/A</v>
      </c>
      <c r="AG245" s="4" t="str">
        <f>"16702355098"</f>
        <v>16702355098</v>
      </c>
      <c r="AH245" t="str">
        <f>""</f>
        <v/>
      </c>
      <c r="AI245" t="str">
        <f>"72251"</f>
        <v>72251</v>
      </c>
      <c r="AJ245" t="s">
        <v>79</v>
      </c>
      <c r="AK245" t="s">
        <v>79</v>
      </c>
      <c r="AL245" t="s">
        <v>80</v>
      </c>
      <c r="AM245" t="s">
        <v>79</v>
      </c>
      <c r="AP245" t="str">
        <f>"Cook"</f>
        <v>Cook</v>
      </c>
      <c r="AQ245" t="str">
        <f>"35-2014.00"</f>
        <v>35-2014.00</v>
      </c>
      <c r="AR245" t="str">
        <f>"Cooks, Restaurant"</f>
        <v>Cooks, Restaurant</v>
      </c>
      <c r="AS245" t="str">
        <f>"General Manager"</f>
        <v>General Manager</v>
      </c>
      <c r="AT245" t="s">
        <v>79</v>
      </c>
      <c r="AU245" t="str">
        <f>""</f>
        <v/>
      </c>
      <c r="AV245" t="str">
        <f>""</f>
        <v/>
      </c>
      <c r="AW245" t="s">
        <v>79</v>
      </c>
      <c r="AX245" t="str">
        <f>""</f>
        <v/>
      </c>
      <c r="AY245" t="s">
        <v>84</v>
      </c>
      <c r="BA245" t="s">
        <v>80</v>
      </c>
      <c r="BB245" t="s">
        <v>79</v>
      </c>
      <c r="BD245" t="s">
        <v>79</v>
      </c>
      <c r="BG245" t="s">
        <v>82</v>
      </c>
      <c r="BH245">
        <v>12</v>
      </c>
      <c r="BI245" t="s">
        <v>319</v>
      </c>
      <c r="BJ245" s="2" t="s">
        <v>1063</v>
      </c>
      <c r="BK245" t="str">
        <f>"Chalan Monsignor Guerrero Rte 31 Dandan"</f>
        <v>Chalan Monsignor Guerrero Rte 31 Dandan</v>
      </c>
      <c r="BL245" t="str">
        <f>"N/A"</f>
        <v>N/A</v>
      </c>
      <c r="BM245" t="str">
        <f>"Saipan"</f>
        <v>Saipan</v>
      </c>
      <c r="BO245" t="s">
        <v>83</v>
      </c>
      <c r="BP245" s="4" t="str">
        <f t="shared" si="157"/>
        <v>96950</v>
      </c>
      <c r="BQ245" t="s">
        <v>79</v>
      </c>
      <c r="BR245" t="str">
        <f>"35-2014.00"</f>
        <v>35-2014.00</v>
      </c>
      <c r="BS245" t="s">
        <v>117</v>
      </c>
      <c r="BT245" s="3">
        <v>8.5500000000000007</v>
      </c>
      <c r="BU245" t="s">
        <v>80</v>
      </c>
      <c r="BV245" t="s">
        <v>90</v>
      </c>
      <c r="BW245" t="s">
        <v>92</v>
      </c>
      <c r="BZ245" s="1">
        <v>45107</v>
      </c>
    </row>
    <row r="246" spans="1:78" ht="15" customHeight="1" x14ac:dyDescent="0.25">
      <c r="A246" t="s">
        <v>1077</v>
      </c>
      <c r="B246" t="s">
        <v>94</v>
      </c>
      <c r="C246" s="1">
        <v>44852</v>
      </c>
      <c r="D246" s="1">
        <v>44895</v>
      </c>
      <c r="H246" t="s">
        <v>78</v>
      </c>
      <c r="I246" t="str">
        <f>"VILLAGOMEZ"</f>
        <v>VILLAGOMEZ</v>
      </c>
      <c r="J246" t="str">
        <f>"RELL"</f>
        <v>RELL</v>
      </c>
      <c r="K246" t="str">
        <f>"ALBUEN"</f>
        <v>ALBUEN</v>
      </c>
      <c r="L246" t="str">
        <f>"MANAGER"</f>
        <v>MANAGER</v>
      </c>
      <c r="M246" t="str">
        <f>"P.O. BOX 501540 DANDAN ROAD"</f>
        <v>P.O. BOX 501540 DANDAN ROAD</v>
      </c>
      <c r="N246" t="str">
        <f>"DANDAN VILLAGE"</f>
        <v>DANDAN VILLAGE</v>
      </c>
      <c r="O246" t="str">
        <f>"SAIPAN"</f>
        <v>SAIPAN</v>
      </c>
      <c r="P246" t="str">
        <f t="shared" si="158"/>
        <v>MP</v>
      </c>
      <c r="Q246" s="4" t="str">
        <f t="shared" si="159"/>
        <v>96950</v>
      </c>
      <c r="R246" t="str">
        <f t="shared" si="132"/>
        <v>UNITED STATES OF AMERICA</v>
      </c>
      <c r="S246" t="str">
        <f>"MP"</f>
        <v>MP</v>
      </c>
      <c r="T246" s="5" t="str">
        <f>"16702888288"</f>
        <v>16702888288</v>
      </c>
      <c r="U246" t="str">
        <f>""</f>
        <v/>
      </c>
      <c r="V246" s="5" t="str">
        <f>""</f>
        <v/>
      </c>
      <c r="W246" t="str">
        <f>"mlfllc@yahoo.com"</f>
        <v>mlfllc@yahoo.com</v>
      </c>
      <c r="X246" t="str">
        <f>"MLF LLC"</f>
        <v>MLF LLC</v>
      </c>
      <c r="Y246" t="str">
        <f>"DANDAN BAKERY"</f>
        <v>DANDAN BAKERY</v>
      </c>
      <c r="Z246" t="str">
        <f>"P.O.. BOX 505540 DANDAN ROAD"</f>
        <v>P.O.. BOX 505540 DANDAN ROAD</v>
      </c>
      <c r="AA246" t="str">
        <f>"DANDAN VILLAGE"</f>
        <v>DANDAN VILLAGE</v>
      </c>
      <c r="AB246" t="str">
        <f>"SAIPAN"</f>
        <v>SAIPAN</v>
      </c>
      <c r="AC246" t="str">
        <f t="shared" si="141"/>
        <v>MP</v>
      </c>
      <c r="AD246" t="str">
        <f t="shared" si="156"/>
        <v>96950</v>
      </c>
      <c r="AE246" t="str">
        <f t="shared" si="142"/>
        <v>UNITED STATES OF AMERICA</v>
      </c>
      <c r="AF246" t="str">
        <f>"MP"</f>
        <v>MP</v>
      </c>
      <c r="AG246" s="4" t="str">
        <f>"16702888288"</f>
        <v>16702888288</v>
      </c>
      <c r="AH246" t="str">
        <f>""</f>
        <v/>
      </c>
      <c r="AI246" t="str">
        <f>"445291"</f>
        <v>445291</v>
      </c>
      <c r="AJ246" t="s">
        <v>79</v>
      </c>
      <c r="AK246" t="s">
        <v>79</v>
      </c>
      <c r="AL246" t="s">
        <v>80</v>
      </c>
      <c r="AM246" t="s">
        <v>79</v>
      </c>
      <c r="AP246" t="str">
        <f>"BAKER"</f>
        <v>BAKER</v>
      </c>
      <c r="AQ246" t="str">
        <f>"51-3011.00"</f>
        <v>51-3011.00</v>
      </c>
      <c r="AR246" t="str">
        <f>"Bakers"</f>
        <v>Bakers</v>
      </c>
      <c r="AS246" t="str">
        <f>"MANAGER"</f>
        <v>MANAGER</v>
      </c>
      <c r="AT246" t="s">
        <v>79</v>
      </c>
      <c r="AU246" t="str">
        <f>""</f>
        <v/>
      </c>
      <c r="AV246" t="str">
        <f>""</f>
        <v/>
      </c>
      <c r="AW246" t="s">
        <v>79</v>
      </c>
      <c r="AX246" t="str">
        <f>""</f>
        <v/>
      </c>
      <c r="AY246" t="s">
        <v>81</v>
      </c>
      <c r="BA246" t="s">
        <v>80</v>
      </c>
      <c r="BB246" t="s">
        <v>79</v>
      </c>
      <c r="BD246" t="s">
        <v>79</v>
      </c>
      <c r="BG246" t="s">
        <v>82</v>
      </c>
      <c r="BH246">
        <v>6</v>
      </c>
      <c r="BI246" t="s">
        <v>443</v>
      </c>
      <c r="BJ246" t="s">
        <v>1078</v>
      </c>
      <c r="BK246" t="str">
        <f>"DANDAN ROAD"</f>
        <v>DANDAN ROAD</v>
      </c>
      <c r="BL246" t="str">
        <f>"DANDAN VILLAGE"</f>
        <v>DANDAN VILLAGE</v>
      </c>
      <c r="BM246" t="str">
        <f>"SAIPAN"</f>
        <v>SAIPAN</v>
      </c>
      <c r="BO246" t="s">
        <v>83</v>
      </c>
      <c r="BP246" s="4" t="str">
        <f t="shared" si="157"/>
        <v>96950</v>
      </c>
      <c r="BQ246" t="s">
        <v>79</v>
      </c>
      <c r="BR246" t="str">
        <f>"51-3011.00"</f>
        <v>51-3011.00</v>
      </c>
      <c r="BS246" t="s">
        <v>331</v>
      </c>
      <c r="BT246" s="3">
        <v>8.19</v>
      </c>
      <c r="BU246" t="s">
        <v>80</v>
      </c>
      <c r="BV246" t="s">
        <v>90</v>
      </c>
      <c r="BW246" t="s">
        <v>92</v>
      </c>
      <c r="BZ246" s="1">
        <v>45107</v>
      </c>
    </row>
    <row r="247" spans="1:78" ht="15" customHeight="1" x14ac:dyDescent="0.25">
      <c r="A247" t="s">
        <v>1017</v>
      </c>
      <c r="B247" t="s">
        <v>94</v>
      </c>
      <c r="C247" s="1">
        <v>44851</v>
      </c>
      <c r="D247" s="1">
        <v>44895</v>
      </c>
      <c r="H247" t="s">
        <v>78</v>
      </c>
      <c r="I247" t="str">
        <f>"LEON GUERRERO "</f>
        <v xml:space="preserve">LEON GUERRERO </v>
      </c>
      <c r="J247" t="str">
        <f>"BERTHA "</f>
        <v xml:space="preserve">BERTHA </v>
      </c>
      <c r="K247" t="str">
        <f>"CAMACHO "</f>
        <v xml:space="preserve">CAMACHO </v>
      </c>
      <c r="L247" t="str">
        <f>"OPERATIONS DIRECTOR "</f>
        <v xml:space="preserve">OPERATIONS DIRECTOR </v>
      </c>
      <c r="M247" t="str">
        <f>"P.O BOX 502370"</f>
        <v>P.O BOX 502370</v>
      </c>
      <c r="N247" t="str">
        <f>""</f>
        <v/>
      </c>
      <c r="O247" t="str">
        <f t="shared" ref="O247:O255" si="160">"SAIPAN "</f>
        <v xml:space="preserve">SAIPAN </v>
      </c>
      <c r="P247" t="str">
        <f t="shared" si="158"/>
        <v>MP</v>
      </c>
      <c r="Q247" s="4" t="str">
        <f t="shared" si="159"/>
        <v>96950</v>
      </c>
      <c r="R247" t="str">
        <f t="shared" si="132"/>
        <v>UNITED STATES OF AMERICA</v>
      </c>
      <c r="S247" t="str">
        <f>""</f>
        <v/>
      </c>
      <c r="T247" s="5" t="str">
        <f>"16702861947"</f>
        <v>16702861947</v>
      </c>
      <c r="U247" t="str">
        <f>""</f>
        <v/>
      </c>
      <c r="V247" s="5" t="str">
        <f>""</f>
        <v/>
      </c>
      <c r="W247" t="str">
        <f>"bclg.mri@gmail.com"</f>
        <v>bclg.mri@gmail.com</v>
      </c>
      <c r="X247" t="str">
        <f>"MARIANAS STAFFING SOLUTIONS, INC. "</f>
        <v xml:space="preserve">MARIANAS STAFFING SOLUTIONS, INC. </v>
      </c>
      <c r="Y247" t="str">
        <f>""</f>
        <v/>
      </c>
      <c r="Z247" t="str">
        <f>"P.O BOX 502370"</f>
        <v>P.O BOX 502370</v>
      </c>
      <c r="AA247" t="str">
        <f>""</f>
        <v/>
      </c>
      <c r="AB247" t="str">
        <f t="shared" ref="AB247:AB255" si="161">"SAIPAN "</f>
        <v xml:space="preserve">SAIPAN </v>
      </c>
      <c r="AC247" t="str">
        <f t="shared" si="141"/>
        <v>MP</v>
      </c>
      <c r="AD247" t="str">
        <f t="shared" si="156"/>
        <v>96950</v>
      </c>
      <c r="AE247" t="str">
        <f t="shared" si="142"/>
        <v>UNITED STATES OF AMERICA</v>
      </c>
      <c r="AF247" t="str">
        <f>""</f>
        <v/>
      </c>
      <c r="AG247" s="4" t="str">
        <f>"16702861947"</f>
        <v>16702861947</v>
      </c>
      <c r="AH247" t="str">
        <f>""</f>
        <v/>
      </c>
      <c r="AI247" t="str">
        <f>"561311"</f>
        <v>561311</v>
      </c>
      <c r="AJ247" t="s">
        <v>79</v>
      </c>
      <c r="AK247" t="s">
        <v>79</v>
      </c>
      <c r="AL247" t="s">
        <v>80</v>
      </c>
      <c r="AM247" t="s">
        <v>79</v>
      </c>
      <c r="AP247" t="str">
        <f>"GROUNDSKEEPER "</f>
        <v xml:space="preserve">GROUNDSKEEPER </v>
      </c>
      <c r="AQ247" t="str">
        <f>"37-3011.00"</f>
        <v>37-3011.00</v>
      </c>
      <c r="AR247" t="str">
        <f>"Landscaping and Groundskeeping Workers"</f>
        <v>Landscaping and Groundskeeping Workers</v>
      </c>
      <c r="AS247" t="str">
        <f>"GROUNDSKEEPING SUPERVISOR "</f>
        <v xml:space="preserve">GROUNDSKEEPING SUPERVISOR </v>
      </c>
      <c r="AT247" t="s">
        <v>79</v>
      </c>
      <c r="AU247" t="str">
        <f>""</f>
        <v/>
      </c>
      <c r="AV247" t="str">
        <f>""</f>
        <v/>
      </c>
      <c r="AW247" t="s">
        <v>79</v>
      </c>
      <c r="AX247" t="str">
        <f>""</f>
        <v/>
      </c>
      <c r="AY247" t="s">
        <v>84</v>
      </c>
      <c r="BA247" t="s">
        <v>80</v>
      </c>
      <c r="BB247" t="s">
        <v>79</v>
      </c>
      <c r="BD247" t="s">
        <v>79</v>
      </c>
      <c r="BG247" t="s">
        <v>82</v>
      </c>
      <c r="BH247">
        <v>12</v>
      </c>
      <c r="BI247" t="s">
        <v>1018</v>
      </c>
      <c r="BJ247" s="2" t="s">
        <v>1019</v>
      </c>
      <c r="BK247" t="str">
        <f>"SAN ANTONIO VILLAGE "</f>
        <v xml:space="preserve">SAN ANTONIO VILLAGE </v>
      </c>
      <c r="BL247" t="str">
        <f>""</f>
        <v/>
      </c>
      <c r="BM247" t="str">
        <f t="shared" ref="BM247:BM255" si="162">"SAIPAN "</f>
        <v xml:space="preserve">SAIPAN </v>
      </c>
      <c r="BO247" t="s">
        <v>83</v>
      </c>
      <c r="BP247" s="4" t="str">
        <f t="shared" si="157"/>
        <v>96950</v>
      </c>
      <c r="BQ247" t="s">
        <v>82</v>
      </c>
      <c r="BR247" t="str">
        <f>"37-3011.00"</f>
        <v>37-3011.00</v>
      </c>
      <c r="BS247" t="s">
        <v>122</v>
      </c>
      <c r="BT247" s="3">
        <v>8.1300000000000008</v>
      </c>
      <c r="BU247" t="s">
        <v>80</v>
      </c>
      <c r="BV247" t="s">
        <v>90</v>
      </c>
      <c r="BW247" t="s">
        <v>92</v>
      </c>
      <c r="BZ247" s="1">
        <v>45107</v>
      </c>
    </row>
    <row r="248" spans="1:78" ht="15" customHeight="1" x14ac:dyDescent="0.25">
      <c r="A248" t="s">
        <v>1023</v>
      </c>
      <c r="B248" t="s">
        <v>94</v>
      </c>
      <c r="C248" s="1">
        <v>44851</v>
      </c>
      <c r="D248" s="1">
        <v>44895</v>
      </c>
      <c r="H248" t="s">
        <v>78</v>
      </c>
      <c r="I248" t="str">
        <f>"LEON GUERRERO "</f>
        <v xml:space="preserve">LEON GUERRERO </v>
      </c>
      <c r="J248" t="str">
        <f>"BERTHA "</f>
        <v xml:space="preserve">BERTHA </v>
      </c>
      <c r="K248" t="str">
        <f>"CAMACHO "</f>
        <v xml:space="preserve">CAMACHO </v>
      </c>
      <c r="L248" t="str">
        <f>"OPERATIONS DIRECTOR "</f>
        <v xml:space="preserve">OPERATIONS DIRECTOR </v>
      </c>
      <c r="M248" t="str">
        <f>"P.O BOX 502370"</f>
        <v>P.O BOX 502370</v>
      </c>
      <c r="N248" t="str">
        <f>""</f>
        <v/>
      </c>
      <c r="O248" t="str">
        <f t="shared" si="160"/>
        <v xml:space="preserve">SAIPAN </v>
      </c>
      <c r="P248" t="str">
        <f t="shared" si="158"/>
        <v>MP</v>
      </c>
      <c r="Q248" s="4" t="str">
        <f t="shared" si="159"/>
        <v>96950</v>
      </c>
      <c r="R248" t="str">
        <f t="shared" si="132"/>
        <v>UNITED STATES OF AMERICA</v>
      </c>
      <c r="S248" t="str">
        <f>""</f>
        <v/>
      </c>
      <c r="T248" s="5" t="str">
        <f>"16702861947"</f>
        <v>16702861947</v>
      </c>
      <c r="U248" t="str">
        <f>""</f>
        <v/>
      </c>
      <c r="V248" s="5" t="str">
        <f>""</f>
        <v/>
      </c>
      <c r="W248" t="str">
        <f>"bclg.mri@gmail.com"</f>
        <v>bclg.mri@gmail.com</v>
      </c>
      <c r="X248" t="str">
        <f>"MARIANAS STAFFING SOLUTIONS, INC. "</f>
        <v xml:space="preserve">MARIANAS STAFFING SOLUTIONS, INC. </v>
      </c>
      <c r="Y248" t="str">
        <f>""</f>
        <v/>
      </c>
      <c r="Z248" t="str">
        <f>"P.O BOX 502370"</f>
        <v>P.O BOX 502370</v>
      </c>
      <c r="AA248" t="str">
        <f>""</f>
        <v/>
      </c>
      <c r="AB248" t="str">
        <f t="shared" si="161"/>
        <v xml:space="preserve">SAIPAN </v>
      </c>
      <c r="AC248" t="str">
        <f t="shared" si="141"/>
        <v>MP</v>
      </c>
      <c r="AD248" t="str">
        <f t="shared" si="156"/>
        <v>96950</v>
      </c>
      <c r="AE248" t="str">
        <f t="shared" si="142"/>
        <v>UNITED STATES OF AMERICA</v>
      </c>
      <c r="AF248" t="str">
        <f>""</f>
        <v/>
      </c>
      <c r="AG248" s="4" t="str">
        <f>"16702861947"</f>
        <v>16702861947</v>
      </c>
      <c r="AH248" t="str">
        <f>""</f>
        <v/>
      </c>
      <c r="AI248" t="str">
        <f>"561311"</f>
        <v>561311</v>
      </c>
      <c r="AJ248" t="s">
        <v>79</v>
      </c>
      <c r="AK248" t="s">
        <v>79</v>
      </c>
      <c r="AL248" t="s">
        <v>80</v>
      </c>
      <c r="AM248" t="s">
        <v>79</v>
      </c>
      <c r="AP248" t="str">
        <f>"KITCHEN HELPER"</f>
        <v>KITCHEN HELPER</v>
      </c>
      <c r="AQ248" t="str">
        <f>"35-9021.00"</f>
        <v>35-9021.00</v>
      </c>
      <c r="AR248" t="str">
        <f>"Dishwashers"</f>
        <v>Dishwashers</v>
      </c>
      <c r="AS248" t="str">
        <f>"EXECUTIVE CHEF"</f>
        <v>EXECUTIVE CHEF</v>
      </c>
      <c r="AT248" t="s">
        <v>79</v>
      </c>
      <c r="AU248" t="str">
        <f>""</f>
        <v/>
      </c>
      <c r="AV248" t="str">
        <f>""</f>
        <v/>
      </c>
      <c r="AW248" t="s">
        <v>79</v>
      </c>
      <c r="AX248" t="str">
        <f>""</f>
        <v/>
      </c>
      <c r="AY248" t="s">
        <v>84</v>
      </c>
      <c r="BA248" t="s">
        <v>80</v>
      </c>
      <c r="BB248" t="s">
        <v>79</v>
      </c>
      <c r="BD248" t="s">
        <v>79</v>
      </c>
      <c r="BG248" t="s">
        <v>82</v>
      </c>
      <c r="BH248">
        <v>12</v>
      </c>
      <c r="BI248" t="s">
        <v>1024</v>
      </c>
      <c r="BJ248" s="2" t="s">
        <v>1025</v>
      </c>
      <c r="BK248" t="str">
        <f>"SAN ANTONIO VILLAGE "</f>
        <v xml:space="preserve">SAN ANTONIO VILLAGE </v>
      </c>
      <c r="BL248" t="str">
        <f>""</f>
        <v/>
      </c>
      <c r="BM248" t="str">
        <f t="shared" si="162"/>
        <v xml:space="preserve">SAIPAN </v>
      </c>
      <c r="BO248" t="s">
        <v>83</v>
      </c>
      <c r="BP248" s="4" t="str">
        <f t="shared" si="157"/>
        <v>96950</v>
      </c>
      <c r="BQ248" t="s">
        <v>82</v>
      </c>
      <c r="BR248" t="str">
        <f>"35-9021.00"</f>
        <v>35-9021.00</v>
      </c>
      <c r="BS248" t="s">
        <v>317</v>
      </c>
      <c r="BT248" s="3">
        <v>8.0299999999999994</v>
      </c>
      <c r="BU248" t="s">
        <v>80</v>
      </c>
      <c r="BV248" t="s">
        <v>90</v>
      </c>
      <c r="BW248" t="s">
        <v>92</v>
      </c>
      <c r="BZ248" s="1">
        <v>45107</v>
      </c>
    </row>
    <row r="249" spans="1:78" ht="15" customHeight="1" x14ac:dyDescent="0.25">
      <c r="A249" t="s">
        <v>1026</v>
      </c>
      <c r="B249" t="s">
        <v>94</v>
      </c>
      <c r="C249" s="1">
        <v>44851</v>
      </c>
      <c r="D249" s="1">
        <v>44895</v>
      </c>
      <c r="H249" t="s">
        <v>78</v>
      </c>
      <c r="I249" t="str">
        <f>"LEON GUERRERO "</f>
        <v xml:space="preserve">LEON GUERRERO </v>
      </c>
      <c r="J249" t="str">
        <f>"BERTHA "</f>
        <v xml:space="preserve">BERTHA </v>
      </c>
      <c r="K249" t="str">
        <f>"CAMACHO "</f>
        <v xml:space="preserve">CAMACHO </v>
      </c>
      <c r="L249" t="str">
        <f>"OPERATIONS DIRECTOR "</f>
        <v xml:space="preserve">OPERATIONS DIRECTOR </v>
      </c>
      <c r="M249" t="str">
        <f>"P.O BOX 502370"</f>
        <v>P.O BOX 502370</v>
      </c>
      <c r="N249" t="str">
        <f>""</f>
        <v/>
      </c>
      <c r="O249" t="str">
        <f t="shared" si="160"/>
        <v xml:space="preserve">SAIPAN </v>
      </c>
      <c r="P249" t="str">
        <f t="shared" si="158"/>
        <v>MP</v>
      </c>
      <c r="Q249" s="4" t="str">
        <f t="shared" si="159"/>
        <v>96950</v>
      </c>
      <c r="R249" t="str">
        <f t="shared" si="132"/>
        <v>UNITED STATES OF AMERICA</v>
      </c>
      <c r="S249" t="str">
        <f>""</f>
        <v/>
      </c>
      <c r="T249" s="5" t="str">
        <f>"16702861947"</f>
        <v>16702861947</v>
      </c>
      <c r="U249" t="str">
        <f>""</f>
        <v/>
      </c>
      <c r="V249" s="5" t="str">
        <f>""</f>
        <v/>
      </c>
      <c r="W249" t="str">
        <f>"bclg.mri@gmail.com"</f>
        <v>bclg.mri@gmail.com</v>
      </c>
      <c r="X249" t="str">
        <f>"MARIANAS STAFFING SOLUTIONS, INC. "</f>
        <v xml:space="preserve">MARIANAS STAFFING SOLUTIONS, INC. </v>
      </c>
      <c r="Y249" t="str">
        <f>""</f>
        <v/>
      </c>
      <c r="Z249" t="str">
        <f>"P.O BOX 502370"</f>
        <v>P.O BOX 502370</v>
      </c>
      <c r="AA249" t="str">
        <f>""</f>
        <v/>
      </c>
      <c r="AB249" t="str">
        <f t="shared" si="161"/>
        <v xml:space="preserve">SAIPAN </v>
      </c>
      <c r="AC249" t="str">
        <f t="shared" si="141"/>
        <v>MP</v>
      </c>
      <c r="AD249" t="str">
        <f t="shared" si="156"/>
        <v>96950</v>
      </c>
      <c r="AE249" t="str">
        <f t="shared" si="142"/>
        <v>UNITED STATES OF AMERICA</v>
      </c>
      <c r="AF249" t="str">
        <f>""</f>
        <v/>
      </c>
      <c r="AG249" s="4" t="str">
        <f>"16702861947"</f>
        <v>16702861947</v>
      </c>
      <c r="AH249" t="str">
        <f>""</f>
        <v/>
      </c>
      <c r="AI249" t="str">
        <f>"561311"</f>
        <v>561311</v>
      </c>
      <c r="AJ249" t="s">
        <v>79</v>
      </c>
      <c r="AK249" t="s">
        <v>79</v>
      </c>
      <c r="AL249" t="s">
        <v>80</v>
      </c>
      <c r="AM249" t="s">
        <v>79</v>
      </c>
      <c r="AP249" t="str">
        <f>"GROUNDSKEEPING SUPERVISOR "</f>
        <v xml:space="preserve">GROUNDSKEEPING SUPERVISOR </v>
      </c>
      <c r="AQ249" t="str">
        <f>"37-1012.00"</f>
        <v>37-1012.00</v>
      </c>
      <c r="AR249" t="str">
        <f>"First-Line Supervisors of Landscaping, Lawn Service, and Groundskeeping Workers"</f>
        <v>First-Line Supervisors of Landscaping, Lawn Service, and Groundskeeping Workers</v>
      </c>
      <c r="AS249" t="str">
        <f>"GOLF COURSE MANAGER "</f>
        <v xml:space="preserve">GOLF COURSE MANAGER </v>
      </c>
      <c r="AT249" t="s">
        <v>82</v>
      </c>
      <c r="AU249" t="str">
        <f>"10"</f>
        <v>10</v>
      </c>
      <c r="AV249" t="str">
        <f>"Subordinate"</f>
        <v>Subordinate</v>
      </c>
      <c r="AW249" t="s">
        <v>79</v>
      </c>
      <c r="AX249" t="str">
        <f>""</f>
        <v/>
      </c>
      <c r="AY249" t="s">
        <v>84</v>
      </c>
      <c r="BA249" t="s">
        <v>80</v>
      </c>
      <c r="BB249" t="s">
        <v>79</v>
      </c>
      <c r="BD249" t="s">
        <v>79</v>
      </c>
      <c r="BG249" t="s">
        <v>82</v>
      </c>
      <c r="BH249">
        <v>24</v>
      </c>
      <c r="BI249" t="s">
        <v>1027</v>
      </c>
      <c r="BJ249" s="2" t="s">
        <v>1028</v>
      </c>
      <c r="BK249" t="str">
        <f>"SAN ANTONIO VILLAGE "</f>
        <v xml:space="preserve">SAN ANTONIO VILLAGE </v>
      </c>
      <c r="BL249" t="str">
        <f>""</f>
        <v/>
      </c>
      <c r="BM249" t="str">
        <f t="shared" si="162"/>
        <v xml:space="preserve">SAIPAN </v>
      </c>
      <c r="BO249" t="s">
        <v>83</v>
      </c>
      <c r="BP249" s="4" t="str">
        <f t="shared" si="157"/>
        <v>96950</v>
      </c>
      <c r="BQ249" t="s">
        <v>82</v>
      </c>
      <c r="BR249" t="str">
        <f>"37-1012.00"</f>
        <v>37-1012.00</v>
      </c>
      <c r="BS249" t="s">
        <v>1029</v>
      </c>
      <c r="BT249" s="3">
        <v>10.14</v>
      </c>
      <c r="BU249" t="s">
        <v>80</v>
      </c>
      <c r="BV249" t="s">
        <v>90</v>
      </c>
      <c r="BW249" t="s">
        <v>92</v>
      </c>
      <c r="BZ249" s="1">
        <v>45107</v>
      </c>
    </row>
    <row r="250" spans="1:78" ht="15" customHeight="1" x14ac:dyDescent="0.25">
      <c r="A250" t="s">
        <v>1035</v>
      </c>
      <c r="B250" t="s">
        <v>94</v>
      </c>
      <c r="C250" s="1">
        <v>44851</v>
      </c>
      <c r="D250" s="1">
        <v>44895</v>
      </c>
      <c r="H250" t="s">
        <v>78</v>
      </c>
      <c r="I250" t="str">
        <f>"PARK "</f>
        <v xml:space="preserve">PARK </v>
      </c>
      <c r="J250" t="str">
        <f>"EUN PYUNG "</f>
        <v xml:space="preserve">EUN PYUNG </v>
      </c>
      <c r="K250" t="str">
        <f>""</f>
        <v/>
      </c>
      <c r="L250" t="str">
        <f>"GENERAL MANAGER "</f>
        <v xml:space="preserve">GENERAL MANAGER </v>
      </c>
      <c r="M250" t="str">
        <f>"4940 AS GONNOR RD, KOBLERVILLE"</f>
        <v>4940 AS GONNOR RD, KOBLERVILLE</v>
      </c>
      <c r="N250" t="str">
        <f>"P.O BOX 501160"</f>
        <v>P.O BOX 501160</v>
      </c>
      <c r="O250" t="str">
        <f t="shared" si="160"/>
        <v xml:space="preserve">SAIPAN </v>
      </c>
      <c r="P250" t="str">
        <f t="shared" si="158"/>
        <v>MP</v>
      </c>
      <c r="Q250" s="4" t="str">
        <f t="shared" si="159"/>
        <v>96950</v>
      </c>
      <c r="R250" t="str">
        <f t="shared" si="132"/>
        <v>UNITED STATES OF AMERICA</v>
      </c>
      <c r="S250" t="str">
        <f>""</f>
        <v/>
      </c>
      <c r="T250" s="5" t="str">
        <f>"16702347000"</f>
        <v>16702347000</v>
      </c>
      <c r="U250" t="str">
        <f>""</f>
        <v/>
      </c>
      <c r="V250" s="5" t="str">
        <f>""</f>
        <v/>
      </c>
      <c r="W250" t="str">
        <f>"hr@coraloceansaipan.com"</f>
        <v>hr@coraloceansaipan.com</v>
      </c>
      <c r="X250" t="str">
        <f>"SUWASO CORPORATION "</f>
        <v xml:space="preserve">SUWASO CORPORATION </v>
      </c>
      <c r="Y250" t="str">
        <f>"CORAL OCEAN RESORT "</f>
        <v xml:space="preserve">CORAL OCEAN RESORT </v>
      </c>
      <c r="Z250" t="str">
        <f>"4940 AS GONNO RD, KOBLERVILLE "</f>
        <v xml:space="preserve">4940 AS GONNO RD, KOBLERVILLE </v>
      </c>
      <c r="AA250" t="str">
        <f>"P.O BOX 501160"</f>
        <v>P.O BOX 501160</v>
      </c>
      <c r="AB250" t="str">
        <f t="shared" si="161"/>
        <v xml:space="preserve">SAIPAN </v>
      </c>
      <c r="AC250" t="str">
        <f t="shared" si="141"/>
        <v>MP</v>
      </c>
      <c r="AD250" t="str">
        <f t="shared" si="156"/>
        <v>96950</v>
      </c>
      <c r="AE250" t="str">
        <f t="shared" si="142"/>
        <v>UNITED STATES OF AMERICA</v>
      </c>
      <c r="AF250" t="str">
        <f>""</f>
        <v/>
      </c>
      <c r="AG250" s="4" t="str">
        <f>"16702347000"</f>
        <v>16702347000</v>
      </c>
      <c r="AH250" t="str">
        <f>""</f>
        <v/>
      </c>
      <c r="AI250" t="str">
        <f>"72111"</f>
        <v>72111</v>
      </c>
      <c r="AJ250" t="s">
        <v>79</v>
      </c>
      <c r="AK250" t="s">
        <v>79</v>
      </c>
      <c r="AL250" t="s">
        <v>80</v>
      </c>
      <c r="AM250" t="s">
        <v>79</v>
      </c>
      <c r="AP250" t="str">
        <f>"ACCOUNTING CLERK "</f>
        <v xml:space="preserve">ACCOUNTING CLERK </v>
      </c>
      <c r="AQ250" t="str">
        <f>"43-3099.00"</f>
        <v>43-3099.00</v>
      </c>
      <c r="AR250" t="str">
        <f>"Financial Clerks, All Other"</f>
        <v>Financial Clerks, All Other</v>
      </c>
      <c r="AS250" t="str">
        <f>"ACCOUNTING SUPERVISOR "</f>
        <v xml:space="preserve">ACCOUNTING SUPERVISOR </v>
      </c>
      <c r="AT250" t="s">
        <v>79</v>
      </c>
      <c r="AU250" t="str">
        <f>""</f>
        <v/>
      </c>
      <c r="AV250" t="str">
        <f>""</f>
        <v/>
      </c>
      <c r="AW250" t="s">
        <v>79</v>
      </c>
      <c r="AX250" t="str">
        <f>""</f>
        <v/>
      </c>
      <c r="AY250" t="s">
        <v>124</v>
      </c>
      <c r="BA250" t="s">
        <v>1036</v>
      </c>
      <c r="BB250" t="s">
        <v>79</v>
      </c>
      <c r="BD250" t="s">
        <v>79</v>
      </c>
      <c r="BG250" t="s">
        <v>82</v>
      </c>
      <c r="BH250">
        <v>12</v>
      </c>
      <c r="BI250" t="s">
        <v>1037</v>
      </c>
      <c r="BJ250" s="2" t="s">
        <v>1038</v>
      </c>
      <c r="BK250" t="str">
        <f>"4940 AS GONNO RD. KOBLERVILLE "</f>
        <v xml:space="preserve">4940 AS GONNO RD. KOBLERVILLE </v>
      </c>
      <c r="BL250" t="str">
        <f>"P.O BOX 501160"</f>
        <v>P.O BOX 501160</v>
      </c>
      <c r="BM250" t="str">
        <f t="shared" si="162"/>
        <v xml:space="preserve">SAIPAN </v>
      </c>
      <c r="BO250" t="s">
        <v>83</v>
      </c>
      <c r="BP250" s="4" t="str">
        <f t="shared" si="157"/>
        <v>96950</v>
      </c>
      <c r="BQ250" t="s">
        <v>79</v>
      </c>
      <c r="BR250" t="str">
        <f>"43-3031.00"</f>
        <v>43-3031.00</v>
      </c>
      <c r="BS250" t="s">
        <v>142</v>
      </c>
      <c r="BT250" s="3">
        <v>11.21</v>
      </c>
      <c r="BU250" t="s">
        <v>80</v>
      </c>
      <c r="BV250" t="s">
        <v>90</v>
      </c>
      <c r="BW250" t="s">
        <v>92</v>
      </c>
      <c r="BZ250" s="1">
        <v>45107</v>
      </c>
    </row>
    <row r="251" spans="1:78" ht="15" customHeight="1" x14ac:dyDescent="0.25">
      <c r="A251" t="s">
        <v>1039</v>
      </c>
      <c r="B251" t="s">
        <v>94</v>
      </c>
      <c r="C251" s="1">
        <v>44851</v>
      </c>
      <c r="D251" s="1">
        <v>44895</v>
      </c>
      <c r="H251" t="s">
        <v>78</v>
      </c>
      <c r="I251" t="str">
        <f>"PARK "</f>
        <v xml:space="preserve">PARK </v>
      </c>
      <c r="J251" t="str">
        <f>"EUN PYUNG "</f>
        <v xml:space="preserve">EUN PYUNG </v>
      </c>
      <c r="K251" t="str">
        <f>""</f>
        <v/>
      </c>
      <c r="L251" t="str">
        <f>"GENERAL MANAGER "</f>
        <v xml:space="preserve">GENERAL MANAGER </v>
      </c>
      <c r="M251" t="str">
        <f>"4940 AS GONNO RD. KOBLERVILLE "</f>
        <v xml:space="preserve">4940 AS GONNO RD. KOBLERVILLE </v>
      </c>
      <c r="N251" t="str">
        <f>"P.O BOX 501160"</f>
        <v>P.O BOX 501160</v>
      </c>
      <c r="O251" t="str">
        <f t="shared" si="160"/>
        <v xml:space="preserve">SAIPAN </v>
      </c>
      <c r="P251" t="str">
        <f t="shared" si="158"/>
        <v>MP</v>
      </c>
      <c r="Q251" s="4" t="str">
        <f t="shared" si="159"/>
        <v>96950</v>
      </c>
      <c r="R251" t="str">
        <f t="shared" si="132"/>
        <v>UNITED STATES OF AMERICA</v>
      </c>
      <c r="S251" t="str">
        <f>""</f>
        <v/>
      </c>
      <c r="T251" s="5" t="str">
        <f>"16702347000"</f>
        <v>16702347000</v>
      </c>
      <c r="U251" t="str">
        <f>""</f>
        <v/>
      </c>
      <c r="V251" s="5" t="str">
        <f>""</f>
        <v/>
      </c>
      <c r="W251" t="str">
        <f>"hr@coraloceansaipan.com"</f>
        <v>hr@coraloceansaipan.com</v>
      </c>
      <c r="X251" t="str">
        <f>"SUWASO CORPORATION "</f>
        <v xml:space="preserve">SUWASO CORPORATION </v>
      </c>
      <c r="Y251" t="str">
        <f>"CORAL OCEAN RESORT"</f>
        <v>CORAL OCEAN RESORT</v>
      </c>
      <c r="Z251" t="str">
        <f>"4940 AS GONNO RD. KOBLERVILLE "</f>
        <v xml:space="preserve">4940 AS GONNO RD. KOBLERVILLE </v>
      </c>
      <c r="AA251" t="str">
        <f>"P.O BOX 501160"</f>
        <v>P.O BOX 501160</v>
      </c>
      <c r="AB251" t="str">
        <f t="shared" si="161"/>
        <v xml:space="preserve">SAIPAN </v>
      </c>
      <c r="AC251" t="str">
        <f t="shared" si="141"/>
        <v>MP</v>
      </c>
      <c r="AD251" t="str">
        <f t="shared" si="156"/>
        <v>96950</v>
      </c>
      <c r="AE251" t="str">
        <f t="shared" si="142"/>
        <v>UNITED STATES OF AMERICA</v>
      </c>
      <c r="AF251" t="str">
        <f>""</f>
        <v/>
      </c>
      <c r="AG251" s="4" t="str">
        <f>"16702347000"</f>
        <v>16702347000</v>
      </c>
      <c r="AH251" t="str">
        <f>""</f>
        <v/>
      </c>
      <c r="AI251" t="str">
        <f>"72111"</f>
        <v>72111</v>
      </c>
      <c r="AJ251" t="s">
        <v>79</v>
      </c>
      <c r="AK251" t="s">
        <v>79</v>
      </c>
      <c r="AL251" t="s">
        <v>80</v>
      </c>
      <c r="AM251" t="s">
        <v>79</v>
      </c>
      <c r="AP251" t="str">
        <f>"BARTENDER"</f>
        <v>BARTENDER</v>
      </c>
      <c r="AQ251" t="str">
        <f>"35-3011.00"</f>
        <v>35-3011.00</v>
      </c>
      <c r="AR251" t="str">
        <f>"Bartenders"</f>
        <v>Bartenders</v>
      </c>
      <c r="AS251" t="str">
        <f>"RESTAURANT SUPERVISOR "</f>
        <v xml:space="preserve">RESTAURANT SUPERVISOR </v>
      </c>
      <c r="AT251" t="s">
        <v>79</v>
      </c>
      <c r="AU251" t="str">
        <f>""</f>
        <v/>
      </c>
      <c r="AV251" t="str">
        <f>""</f>
        <v/>
      </c>
      <c r="AW251" t="s">
        <v>79</v>
      </c>
      <c r="AX251" t="str">
        <f>""</f>
        <v/>
      </c>
      <c r="AY251" t="s">
        <v>84</v>
      </c>
      <c r="BA251" t="s">
        <v>80</v>
      </c>
      <c r="BB251" t="s">
        <v>79</v>
      </c>
      <c r="BD251" t="s">
        <v>79</v>
      </c>
      <c r="BG251" t="s">
        <v>82</v>
      </c>
      <c r="BH251">
        <v>12</v>
      </c>
      <c r="BI251" t="s">
        <v>1040</v>
      </c>
      <c r="BJ251" s="2" t="s">
        <v>1041</v>
      </c>
      <c r="BK251" t="str">
        <f>"4940 AS GONNO RD. KOBLERVILLE "</f>
        <v xml:space="preserve">4940 AS GONNO RD. KOBLERVILLE </v>
      </c>
      <c r="BL251" t="str">
        <f>"P.O BOX 501160"</f>
        <v>P.O BOX 501160</v>
      </c>
      <c r="BM251" t="str">
        <f t="shared" si="162"/>
        <v xml:space="preserve">SAIPAN </v>
      </c>
      <c r="BO251" t="s">
        <v>83</v>
      </c>
      <c r="BP251" s="4" t="str">
        <f t="shared" si="157"/>
        <v>96950</v>
      </c>
      <c r="BQ251" t="s">
        <v>79</v>
      </c>
      <c r="BR251" t="str">
        <f>"35-3011.00"</f>
        <v>35-3011.00</v>
      </c>
      <c r="BS251" t="s">
        <v>661</v>
      </c>
      <c r="BT251" s="3">
        <v>8.3800000000000008</v>
      </c>
      <c r="BU251" t="s">
        <v>80</v>
      </c>
      <c r="BV251" t="s">
        <v>90</v>
      </c>
      <c r="BW251" t="s">
        <v>92</v>
      </c>
      <c r="BZ251" s="1">
        <v>45107</v>
      </c>
    </row>
    <row r="252" spans="1:78" ht="15" customHeight="1" x14ac:dyDescent="0.25">
      <c r="A252" t="s">
        <v>1042</v>
      </c>
      <c r="B252" t="s">
        <v>94</v>
      </c>
      <c r="C252" s="1">
        <v>44851</v>
      </c>
      <c r="D252" s="1">
        <v>44895</v>
      </c>
      <c r="H252" t="s">
        <v>78</v>
      </c>
      <c r="I252" t="str">
        <f>"LEON GUERRREO "</f>
        <v xml:space="preserve">LEON GUERRREO </v>
      </c>
      <c r="J252" t="str">
        <f>"BERTHA "</f>
        <v xml:space="preserve">BERTHA </v>
      </c>
      <c r="K252" t="str">
        <f>"CAMACHO "</f>
        <v xml:space="preserve">CAMACHO </v>
      </c>
      <c r="L252" t="str">
        <f>"OPERATIONS DIRECTOR"</f>
        <v>OPERATIONS DIRECTOR</v>
      </c>
      <c r="M252" t="str">
        <f>"P.O BOX 502370"</f>
        <v>P.O BOX 502370</v>
      </c>
      <c r="N252" t="str">
        <f>""</f>
        <v/>
      </c>
      <c r="O252" t="str">
        <f t="shared" si="160"/>
        <v xml:space="preserve">SAIPAN </v>
      </c>
      <c r="P252" t="str">
        <f t="shared" si="158"/>
        <v>MP</v>
      </c>
      <c r="Q252" s="4" t="str">
        <f t="shared" si="159"/>
        <v>96950</v>
      </c>
      <c r="R252" t="str">
        <f t="shared" si="132"/>
        <v>UNITED STATES OF AMERICA</v>
      </c>
      <c r="S252" t="str">
        <f>""</f>
        <v/>
      </c>
      <c r="T252" s="5" t="str">
        <f>"16702861947"</f>
        <v>16702861947</v>
      </c>
      <c r="U252" t="str">
        <f>""</f>
        <v/>
      </c>
      <c r="V252" s="5" t="str">
        <f>""</f>
        <v/>
      </c>
      <c r="W252" t="str">
        <f>"bclg.mri@gmail.com"</f>
        <v>bclg.mri@gmail.com</v>
      </c>
      <c r="X252" t="str">
        <f>"MARIANAS STAFFING SOLUTIONS, INC. "</f>
        <v xml:space="preserve">MARIANAS STAFFING SOLUTIONS, INC. </v>
      </c>
      <c r="Y252" t="str">
        <f>""</f>
        <v/>
      </c>
      <c r="Z252" t="str">
        <f>"P.O BOX 502370"</f>
        <v>P.O BOX 502370</v>
      </c>
      <c r="AA252" t="str">
        <f>""</f>
        <v/>
      </c>
      <c r="AB252" t="str">
        <f t="shared" si="161"/>
        <v xml:space="preserve">SAIPAN </v>
      </c>
      <c r="AC252" t="str">
        <f t="shared" si="141"/>
        <v>MP</v>
      </c>
      <c r="AD252" t="str">
        <f t="shared" si="156"/>
        <v>96950</v>
      </c>
      <c r="AE252" t="str">
        <f t="shared" si="142"/>
        <v>UNITED STATES OF AMERICA</v>
      </c>
      <c r="AF252" t="str">
        <f>""</f>
        <v/>
      </c>
      <c r="AG252" s="4" t="str">
        <f>"16702861947"</f>
        <v>16702861947</v>
      </c>
      <c r="AH252" t="str">
        <f>""</f>
        <v/>
      </c>
      <c r="AI252" t="str">
        <f>"561311"</f>
        <v>561311</v>
      </c>
      <c r="AJ252" t="s">
        <v>79</v>
      </c>
      <c r="AK252" t="s">
        <v>79</v>
      </c>
      <c r="AL252" t="s">
        <v>80</v>
      </c>
      <c r="AM252" t="s">
        <v>79</v>
      </c>
      <c r="AP252" t="str">
        <f>"LANDSCAPER"</f>
        <v>LANDSCAPER</v>
      </c>
      <c r="AQ252" t="str">
        <f>"37-3011.00"</f>
        <v>37-3011.00</v>
      </c>
      <c r="AR252" t="str">
        <f>"Landscaping and Groundskeeping Workers"</f>
        <v>Landscaping and Groundskeeping Workers</v>
      </c>
      <c r="AS252" t="str">
        <f>"LANDSCAPING SUPERVISOR "</f>
        <v xml:space="preserve">LANDSCAPING SUPERVISOR </v>
      </c>
      <c r="AT252" t="s">
        <v>79</v>
      </c>
      <c r="AU252" t="str">
        <f>""</f>
        <v/>
      </c>
      <c r="AV252" t="str">
        <f>""</f>
        <v/>
      </c>
      <c r="AW252" t="s">
        <v>79</v>
      </c>
      <c r="AX252" t="str">
        <f>""</f>
        <v/>
      </c>
      <c r="AY252" t="s">
        <v>84</v>
      </c>
      <c r="BA252" t="s">
        <v>80</v>
      </c>
      <c r="BB252" t="s">
        <v>79</v>
      </c>
      <c r="BD252" t="s">
        <v>79</v>
      </c>
      <c r="BG252" t="s">
        <v>82</v>
      </c>
      <c r="BH252">
        <v>12</v>
      </c>
      <c r="BI252" t="s">
        <v>1043</v>
      </c>
      <c r="BJ252" s="2" t="s">
        <v>1044</v>
      </c>
      <c r="BK252" t="str">
        <f>"SAN ANTONIO VILLAGE "</f>
        <v xml:space="preserve">SAN ANTONIO VILLAGE </v>
      </c>
      <c r="BL252" t="str">
        <f>""</f>
        <v/>
      </c>
      <c r="BM252" t="str">
        <f t="shared" si="162"/>
        <v xml:space="preserve">SAIPAN </v>
      </c>
      <c r="BO252" t="s">
        <v>83</v>
      </c>
      <c r="BP252" s="4" t="str">
        <f t="shared" si="157"/>
        <v>96950</v>
      </c>
      <c r="BQ252" t="s">
        <v>82</v>
      </c>
      <c r="BR252" t="str">
        <f>"37-3011.00"</f>
        <v>37-3011.00</v>
      </c>
      <c r="BS252" t="s">
        <v>122</v>
      </c>
      <c r="BT252" s="3">
        <v>8.1300000000000008</v>
      </c>
      <c r="BU252" t="s">
        <v>80</v>
      </c>
      <c r="BV252" t="s">
        <v>90</v>
      </c>
      <c r="BW252" t="s">
        <v>92</v>
      </c>
      <c r="BZ252" s="1">
        <v>45107</v>
      </c>
    </row>
    <row r="253" spans="1:78" ht="15" customHeight="1" x14ac:dyDescent="0.25">
      <c r="A253" t="s">
        <v>1045</v>
      </c>
      <c r="B253" t="s">
        <v>94</v>
      </c>
      <c r="C253" s="1">
        <v>44851</v>
      </c>
      <c r="D253" s="1">
        <v>44895</v>
      </c>
      <c r="H253" t="s">
        <v>78</v>
      </c>
      <c r="I253" t="str">
        <f>"LEON GUERRERO "</f>
        <v xml:space="preserve">LEON GUERRERO </v>
      </c>
      <c r="J253" t="str">
        <f>"BERTHA "</f>
        <v xml:space="preserve">BERTHA </v>
      </c>
      <c r="K253" t="str">
        <f>"CAMACHO "</f>
        <v xml:space="preserve">CAMACHO </v>
      </c>
      <c r="L253" t="str">
        <f>"OPERATIONS DIRECTOR "</f>
        <v xml:space="preserve">OPERATIONS DIRECTOR </v>
      </c>
      <c r="M253" t="str">
        <f>"P.O BOX 502370"</f>
        <v>P.O BOX 502370</v>
      </c>
      <c r="N253" t="str">
        <f>""</f>
        <v/>
      </c>
      <c r="O253" t="str">
        <f t="shared" si="160"/>
        <v xml:space="preserve">SAIPAN </v>
      </c>
      <c r="P253" t="str">
        <f t="shared" si="158"/>
        <v>MP</v>
      </c>
      <c r="Q253" s="4" t="str">
        <f t="shared" si="159"/>
        <v>96950</v>
      </c>
      <c r="R253" t="str">
        <f t="shared" si="132"/>
        <v>UNITED STATES OF AMERICA</v>
      </c>
      <c r="S253" t="str">
        <f>""</f>
        <v/>
      </c>
      <c r="T253" s="5" t="str">
        <f>"16702347000"</f>
        <v>16702347000</v>
      </c>
      <c r="U253" t="str">
        <f>""</f>
        <v/>
      </c>
      <c r="V253" s="5" t="str">
        <f>""</f>
        <v/>
      </c>
      <c r="W253" t="str">
        <f>"bclg.mri@gmail.com"</f>
        <v>bclg.mri@gmail.com</v>
      </c>
      <c r="X253" t="str">
        <f>"MARIANAS STAFFING SOLUTIONS, INC. "</f>
        <v xml:space="preserve">MARIANAS STAFFING SOLUTIONS, INC. </v>
      </c>
      <c r="Y253" t="str">
        <f>""</f>
        <v/>
      </c>
      <c r="Z253" t="str">
        <f>"P.O BOX 502370"</f>
        <v>P.O BOX 502370</v>
      </c>
      <c r="AA253" t="str">
        <f>""</f>
        <v/>
      </c>
      <c r="AB253" t="str">
        <f t="shared" si="161"/>
        <v xml:space="preserve">SAIPAN </v>
      </c>
      <c r="AC253" t="str">
        <f t="shared" si="141"/>
        <v>MP</v>
      </c>
      <c r="AD253" t="str">
        <f t="shared" si="156"/>
        <v>96950</v>
      </c>
      <c r="AE253" t="str">
        <f t="shared" si="142"/>
        <v>UNITED STATES OF AMERICA</v>
      </c>
      <c r="AF253" t="str">
        <f>""</f>
        <v/>
      </c>
      <c r="AG253" s="4" t="str">
        <f>"16702861947"</f>
        <v>16702861947</v>
      </c>
      <c r="AH253" t="str">
        <f>""</f>
        <v/>
      </c>
      <c r="AI253" t="str">
        <f>"561311"</f>
        <v>561311</v>
      </c>
      <c r="AJ253" t="s">
        <v>79</v>
      </c>
      <c r="AK253" t="s">
        <v>79</v>
      </c>
      <c r="AL253" t="s">
        <v>80</v>
      </c>
      <c r="AM253" t="s">
        <v>79</v>
      </c>
      <c r="AP253" t="str">
        <f>"MECHANIC "</f>
        <v xml:space="preserve">MECHANIC </v>
      </c>
      <c r="AQ253" t="str">
        <f>"49-3023.00"</f>
        <v>49-3023.00</v>
      </c>
      <c r="AR253" t="str">
        <f>"Automotive Service Technicians and Mechanics"</f>
        <v>Automotive Service Technicians and Mechanics</v>
      </c>
      <c r="AS253" t="str">
        <f>"ENGINEERING MANAGER "</f>
        <v xml:space="preserve">ENGINEERING MANAGER </v>
      </c>
      <c r="AT253" t="s">
        <v>79</v>
      </c>
      <c r="AU253" t="str">
        <f>""</f>
        <v/>
      </c>
      <c r="AV253" t="str">
        <f>""</f>
        <v/>
      </c>
      <c r="AW253" t="s">
        <v>79</v>
      </c>
      <c r="AX253" t="str">
        <f>""</f>
        <v/>
      </c>
      <c r="AY253" t="s">
        <v>84</v>
      </c>
      <c r="BA253" t="s">
        <v>80</v>
      </c>
      <c r="BB253" t="s">
        <v>79</v>
      </c>
      <c r="BD253" t="s">
        <v>79</v>
      </c>
      <c r="BG253" t="s">
        <v>82</v>
      </c>
      <c r="BH253">
        <v>12</v>
      </c>
      <c r="BI253" t="s">
        <v>1046</v>
      </c>
      <c r="BJ253" s="2" t="s">
        <v>1047</v>
      </c>
      <c r="BK253" t="str">
        <f>"SAN ANTONIO VILLAGE "</f>
        <v xml:space="preserve">SAN ANTONIO VILLAGE </v>
      </c>
      <c r="BL253" t="str">
        <f>""</f>
        <v/>
      </c>
      <c r="BM253" t="str">
        <f t="shared" si="162"/>
        <v xml:space="preserve">SAIPAN </v>
      </c>
      <c r="BO253" t="s">
        <v>83</v>
      </c>
      <c r="BP253" s="4" t="str">
        <f t="shared" si="157"/>
        <v>96950</v>
      </c>
      <c r="BQ253" t="s">
        <v>82</v>
      </c>
      <c r="BR253" t="str">
        <f>"49-3023.00"</f>
        <v>49-3023.00</v>
      </c>
      <c r="BS253" t="s">
        <v>269</v>
      </c>
      <c r="BT253" s="3">
        <v>9.93</v>
      </c>
      <c r="BU253" t="s">
        <v>80</v>
      </c>
      <c r="BV253" t="s">
        <v>90</v>
      </c>
      <c r="BW253" t="s">
        <v>92</v>
      </c>
      <c r="BZ253" s="1">
        <v>45107</v>
      </c>
    </row>
    <row r="254" spans="1:78" ht="15" customHeight="1" x14ac:dyDescent="0.25">
      <c r="A254" t="s">
        <v>1048</v>
      </c>
      <c r="B254" t="s">
        <v>94</v>
      </c>
      <c r="C254" s="1">
        <v>44851</v>
      </c>
      <c r="D254" s="1">
        <v>44895</v>
      </c>
      <c r="H254" t="s">
        <v>78</v>
      </c>
      <c r="I254" t="str">
        <f>"LEON GUERRERO "</f>
        <v xml:space="preserve">LEON GUERRERO </v>
      </c>
      <c r="J254" t="str">
        <f>"BERTHA "</f>
        <v xml:space="preserve">BERTHA </v>
      </c>
      <c r="K254" t="str">
        <f>"CAMACHO "</f>
        <v xml:space="preserve">CAMACHO </v>
      </c>
      <c r="L254" t="str">
        <f>"OPERATIONS DIRECTOR"</f>
        <v>OPERATIONS DIRECTOR</v>
      </c>
      <c r="M254" t="str">
        <f>"P.O BOX 502370"</f>
        <v>P.O BOX 502370</v>
      </c>
      <c r="N254" t="str">
        <f>""</f>
        <v/>
      </c>
      <c r="O254" t="str">
        <f t="shared" si="160"/>
        <v xml:space="preserve">SAIPAN </v>
      </c>
      <c r="P254" t="str">
        <f t="shared" si="158"/>
        <v>MP</v>
      </c>
      <c r="Q254" s="4" t="str">
        <f t="shared" si="159"/>
        <v>96950</v>
      </c>
      <c r="R254" t="str">
        <f t="shared" si="132"/>
        <v>UNITED STATES OF AMERICA</v>
      </c>
      <c r="S254" t="str">
        <f>""</f>
        <v/>
      </c>
      <c r="T254" s="5" t="str">
        <f>"16702861947"</f>
        <v>16702861947</v>
      </c>
      <c r="U254" t="str">
        <f>""</f>
        <v/>
      </c>
      <c r="V254" s="5" t="str">
        <f>""</f>
        <v/>
      </c>
      <c r="W254" t="str">
        <f>"bclg.mri@gmail.com"</f>
        <v>bclg.mri@gmail.com</v>
      </c>
      <c r="X254" t="str">
        <f>"MARIANAS STAFFING SOLUTIONS, INC. "</f>
        <v xml:space="preserve">MARIANAS STAFFING SOLUTIONS, INC. </v>
      </c>
      <c r="Y254" t="str">
        <f>""</f>
        <v/>
      </c>
      <c r="Z254" t="str">
        <f>"P.O BOX 502370"</f>
        <v>P.O BOX 502370</v>
      </c>
      <c r="AA254" t="str">
        <f>""</f>
        <v/>
      </c>
      <c r="AB254" t="str">
        <f t="shared" si="161"/>
        <v xml:space="preserve">SAIPAN </v>
      </c>
      <c r="AC254" t="str">
        <f t="shared" si="141"/>
        <v>MP</v>
      </c>
      <c r="AD254" t="str">
        <f t="shared" si="156"/>
        <v>96950</v>
      </c>
      <c r="AE254" t="str">
        <f t="shared" si="142"/>
        <v>UNITED STATES OF AMERICA</v>
      </c>
      <c r="AF254" t="str">
        <f>""</f>
        <v/>
      </c>
      <c r="AG254" s="4" t="str">
        <f>"16702861947"</f>
        <v>16702861947</v>
      </c>
      <c r="AH254" t="str">
        <f>""</f>
        <v/>
      </c>
      <c r="AI254" t="str">
        <f>"561311"</f>
        <v>561311</v>
      </c>
      <c r="AJ254" t="s">
        <v>79</v>
      </c>
      <c r="AK254" t="s">
        <v>79</v>
      </c>
      <c r="AL254" t="s">
        <v>80</v>
      </c>
      <c r="AM254" t="s">
        <v>79</v>
      </c>
      <c r="AP254" t="str">
        <f>"PASTRY SUPERVISOR "</f>
        <v xml:space="preserve">PASTRY SUPERVISOR </v>
      </c>
      <c r="AQ254" t="str">
        <f>"35-1012.00"</f>
        <v>35-1012.00</v>
      </c>
      <c r="AR254" t="str">
        <f>"First-Line Supervisors of Food Preparation and Serving Workers"</f>
        <v>First-Line Supervisors of Food Preparation and Serving Workers</v>
      </c>
      <c r="AS254" t="str">
        <f>"EXECUTIVE CHEF"</f>
        <v>EXECUTIVE CHEF</v>
      </c>
      <c r="AT254" t="s">
        <v>82</v>
      </c>
      <c r="AU254" t="str">
        <f>"3"</f>
        <v>3</v>
      </c>
      <c r="AV254" t="str">
        <f>"Subordinate"</f>
        <v>Subordinate</v>
      </c>
      <c r="AW254" t="s">
        <v>79</v>
      </c>
      <c r="AX254" t="str">
        <f>""</f>
        <v/>
      </c>
      <c r="AY254" t="s">
        <v>84</v>
      </c>
      <c r="BA254" t="s">
        <v>80</v>
      </c>
      <c r="BB254" t="s">
        <v>79</v>
      </c>
      <c r="BD254" t="s">
        <v>79</v>
      </c>
      <c r="BG254" t="s">
        <v>82</v>
      </c>
      <c r="BH254">
        <v>12</v>
      </c>
      <c r="BI254" t="s">
        <v>1049</v>
      </c>
      <c r="BJ254" s="2" t="s">
        <v>1050</v>
      </c>
      <c r="BK254" t="str">
        <f>"SAN ANTONIO VILLAGE "</f>
        <v xml:space="preserve">SAN ANTONIO VILLAGE </v>
      </c>
      <c r="BL254" t="str">
        <f>""</f>
        <v/>
      </c>
      <c r="BM254" t="str">
        <f t="shared" si="162"/>
        <v xml:space="preserve">SAIPAN </v>
      </c>
      <c r="BO254" t="s">
        <v>83</v>
      </c>
      <c r="BP254" s="4" t="str">
        <f t="shared" si="157"/>
        <v>96950</v>
      </c>
      <c r="BQ254" t="s">
        <v>82</v>
      </c>
      <c r="BR254" t="str">
        <f>"35-1012.00"</f>
        <v>35-1012.00</v>
      </c>
      <c r="BS254" t="s">
        <v>694</v>
      </c>
      <c r="BT254" s="3">
        <v>9.75</v>
      </c>
      <c r="BU254" t="s">
        <v>80</v>
      </c>
      <c r="BV254" t="s">
        <v>90</v>
      </c>
      <c r="BW254" t="s">
        <v>92</v>
      </c>
      <c r="BZ254" s="1">
        <v>45107</v>
      </c>
    </row>
    <row r="255" spans="1:78" ht="15" customHeight="1" x14ac:dyDescent="0.25">
      <c r="A255" t="s">
        <v>1051</v>
      </c>
      <c r="B255" t="s">
        <v>94</v>
      </c>
      <c r="C255" s="1">
        <v>44851</v>
      </c>
      <c r="D255" s="1">
        <v>44895</v>
      </c>
      <c r="H255" t="s">
        <v>78</v>
      </c>
      <c r="I255" t="str">
        <f>"LEON GUERRERO "</f>
        <v xml:space="preserve">LEON GUERRERO </v>
      </c>
      <c r="J255" t="str">
        <f>"BERTHA "</f>
        <v xml:space="preserve">BERTHA </v>
      </c>
      <c r="K255" t="str">
        <f>"CAMACHO "</f>
        <v xml:space="preserve">CAMACHO </v>
      </c>
      <c r="L255" t="str">
        <f>"OPERATIONS DIRECTOR "</f>
        <v xml:space="preserve">OPERATIONS DIRECTOR </v>
      </c>
      <c r="M255" t="str">
        <f>"P.O BOX 502370"</f>
        <v>P.O BOX 502370</v>
      </c>
      <c r="N255" t="str">
        <f>""</f>
        <v/>
      </c>
      <c r="O255" t="str">
        <f t="shared" si="160"/>
        <v xml:space="preserve">SAIPAN </v>
      </c>
      <c r="P255" t="str">
        <f t="shared" si="158"/>
        <v>MP</v>
      </c>
      <c r="Q255" s="4" t="str">
        <f t="shared" si="159"/>
        <v>96950</v>
      </c>
      <c r="R255" t="str">
        <f t="shared" si="132"/>
        <v>UNITED STATES OF AMERICA</v>
      </c>
      <c r="S255" t="str">
        <f>""</f>
        <v/>
      </c>
      <c r="T255" s="5" t="str">
        <f>"16702861947"</f>
        <v>16702861947</v>
      </c>
      <c r="U255" t="str">
        <f>""</f>
        <v/>
      </c>
      <c r="V255" s="5" t="str">
        <f>""</f>
        <v/>
      </c>
      <c r="W255" t="str">
        <f>"bclg.mri@gmail.com"</f>
        <v>bclg.mri@gmail.com</v>
      </c>
      <c r="X255" t="str">
        <f>"MARIANAS STAFFING SOLUTION, INC. "</f>
        <v xml:space="preserve">MARIANAS STAFFING SOLUTION, INC. </v>
      </c>
      <c r="Y255" t="str">
        <f>""</f>
        <v/>
      </c>
      <c r="Z255" t="str">
        <f>"P.O BOX 502370"</f>
        <v>P.O BOX 502370</v>
      </c>
      <c r="AA255" t="str">
        <f>""</f>
        <v/>
      </c>
      <c r="AB255" t="str">
        <f t="shared" si="161"/>
        <v xml:space="preserve">SAIPAN </v>
      </c>
      <c r="AC255" t="str">
        <f t="shared" si="141"/>
        <v>MP</v>
      </c>
      <c r="AD255" t="str">
        <f t="shared" si="156"/>
        <v>96950</v>
      </c>
      <c r="AE255" t="str">
        <f t="shared" si="142"/>
        <v>UNITED STATES OF AMERICA</v>
      </c>
      <c r="AF255" t="str">
        <f>""</f>
        <v/>
      </c>
      <c r="AG255" s="4" t="str">
        <f>"16702861947"</f>
        <v>16702861947</v>
      </c>
      <c r="AH255" t="str">
        <f>""</f>
        <v/>
      </c>
      <c r="AI255" t="str">
        <f>"561311"</f>
        <v>561311</v>
      </c>
      <c r="AJ255" t="s">
        <v>79</v>
      </c>
      <c r="AK255" t="s">
        <v>79</v>
      </c>
      <c r="AL255" t="s">
        <v>80</v>
      </c>
      <c r="AM255" t="s">
        <v>79</v>
      </c>
      <c r="AP255" t="str">
        <f>"SOUS CHEF "</f>
        <v xml:space="preserve">SOUS CHEF </v>
      </c>
      <c r="AQ255" t="str">
        <f>"35-1011.00"</f>
        <v>35-1011.00</v>
      </c>
      <c r="AR255" t="str">
        <f>"Chefs and Head Cooks"</f>
        <v>Chefs and Head Cooks</v>
      </c>
      <c r="AS255" t="str">
        <f>"EXECUTIVE CHEF"</f>
        <v>EXECUTIVE CHEF</v>
      </c>
      <c r="AT255" t="s">
        <v>82</v>
      </c>
      <c r="AU255" t="str">
        <f>"15"</f>
        <v>15</v>
      </c>
      <c r="AV255" t="str">
        <f>"Subordinate"</f>
        <v>Subordinate</v>
      </c>
      <c r="AW255" t="s">
        <v>79</v>
      </c>
      <c r="AX255" t="str">
        <f>""</f>
        <v/>
      </c>
      <c r="AY255" t="s">
        <v>84</v>
      </c>
      <c r="BA255" t="s">
        <v>80</v>
      </c>
      <c r="BB255" t="s">
        <v>79</v>
      </c>
      <c r="BD255" t="s">
        <v>79</v>
      </c>
      <c r="BG255" t="s">
        <v>82</v>
      </c>
      <c r="BH255">
        <v>24</v>
      </c>
      <c r="BI255" t="s">
        <v>1052</v>
      </c>
      <c r="BJ255" s="2" t="s">
        <v>1053</v>
      </c>
      <c r="BK255" t="str">
        <f>"SAN ANTONIO VILLAGE "</f>
        <v xml:space="preserve">SAN ANTONIO VILLAGE </v>
      </c>
      <c r="BL255" t="str">
        <f>""</f>
        <v/>
      </c>
      <c r="BM255" t="str">
        <f t="shared" si="162"/>
        <v xml:space="preserve">SAIPAN </v>
      </c>
      <c r="BO255" t="s">
        <v>83</v>
      </c>
      <c r="BP255" s="4" t="str">
        <f t="shared" si="157"/>
        <v>96950</v>
      </c>
      <c r="BQ255" t="s">
        <v>82</v>
      </c>
      <c r="BR255" t="str">
        <f>"35-1011.00"</f>
        <v>35-1011.00</v>
      </c>
      <c r="BS255" t="s">
        <v>740</v>
      </c>
      <c r="BT255" s="3">
        <v>13.71</v>
      </c>
      <c r="BU255" t="s">
        <v>80</v>
      </c>
      <c r="BV255" t="s">
        <v>90</v>
      </c>
      <c r="BW255" t="s">
        <v>92</v>
      </c>
      <c r="BZ255" s="1">
        <v>45107</v>
      </c>
    </row>
    <row r="256" spans="1:78" ht="15" customHeight="1" x14ac:dyDescent="0.25">
      <c r="A256" t="s">
        <v>1013</v>
      </c>
      <c r="B256" t="s">
        <v>94</v>
      </c>
      <c r="C256" s="1">
        <v>44850</v>
      </c>
      <c r="D256" s="1">
        <v>44895</v>
      </c>
      <c r="H256" t="s">
        <v>78</v>
      </c>
      <c r="I256" t="str">
        <f>"Walker"</f>
        <v>Walker</v>
      </c>
      <c r="J256" t="str">
        <f>"Shaohong"</f>
        <v>Shaohong</v>
      </c>
      <c r="K256" t="str">
        <f>"C."</f>
        <v>C.</v>
      </c>
      <c r="L256" t="str">
        <f>"President"</f>
        <v>President</v>
      </c>
      <c r="M256" t="str">
        <f>"MOOTY STREET GARAPAN"</f>
        <v>MOOTY STREET GARAPAN</v>
      </c>
      <c r="N256" t="str">
        <f>""</f>
        <v/>
      </c>
      <c r="O256" t="str">
        <f t="shared" ref="O256:O261" si="163">"Saipan"</f>
        <v>Saipan</v>
      </c>
      <c r="P256" t="str">
        <f t="shared" si="158"/>
        <v>MP</v>
      </c>
      <c r="Q256" s="4" t="str">
        <f t="shared" si="159"/>
        <v>96950</v>
      </c>
      <c r="R256" t="str">
        <f t="shared" si="132"/>
        <v>UNITED STATES OF AMERICA</v>
      </c>
      <c r="S256" t="str">
        <f>""</f>
        <v/>
      </c>
      <c r="T256" s="5" t="str">
        <f>"16702351388"</f>
        <v>16702351388</v>
      </c>
      <c r="U256" t="str">
        <f>""</f>
        <v/>
      </c>
      <c r="V256" s="5" t="str">
        <f>""</f>
        <v/>
      </c>
      <c r="W256" t="str">
        <f>"rhtishao@gmail.com"</f>
        <v>rhtishao@gmail.com</v>
      </c>
      <c r="X256" t="str">
        <f>"WenJian Corporation CNMI"</f>
        <v>WenJian Corporation CNMI</v>
      </c>
      <c r="Y256" t="str">
        <f>"Bravo Kitchen and Bar"</f>
        <v>Bravo Kitchen and Bar</v>
      </c>
      <c r="Z256" t="str">
        <f>"Beach Road Garapan"</f>
        <v>Beach Road Garapan</v>
      </c>
      <c r="AA256" t="str">
        <f>""</f>
        <v/>
      </c>
      <c r="AB256" t="str">
        <f>"Saipan"</f>
        <v>Saipan</v>
      </c>
      <c r="AC256" t="str">
        <f t="shared" si="141"/>
        <v>MP</v>
      </c>
      <c r="AD256" t="str">
        <f t="shared" si="156"/>
        <v>96950</v>
      </c>
      <c r="AE256" t="str">
        <f t="shared" si="142"/>
        <v>UNITED STATES OF AMERICA</v>
      </c>
      <c r="AF256" t="str">
        <f>""</f>
        <v/>
      </c>
      <c r="AG256" s="4" t="str">
        <f>"16718881388"</f>
        <v>16718881388</v>
      </c>
      <c r="AH256" t="str">
        <f>""</f>
        <v/>
      </c>
      <c r="AI256" t="str">
        <f>"722511"</f>
        <v>722511</v>
      </c>
      <c r="AJ256" t="s">
        <v>79</v>
      </c>
      <c r="AK256" t="s">
        <v>79</v>
      </c>
      <c r="AL256" t="s">
        <v>80</v>
      </c>
      <c r="AM256" t="s">
        <v>79</v>
      </c>
      <c r="AP256" t="str">
        <f>"Cook"</f>
        <v>Cook</v>
      </c>
      <c r="AQ256" t="str">
        <f>"35-2014.00"</f>
        <v>35-2014.00</v>
      </c>
      <c r="AR256" t="str">
        <f>"Cooks, Restaurant"</f>
        <v>Cooks, Restaurant</v>
      </c>
      <c r="AS256" t="str">
        <f>"Manager"</f>
        <v>Manager</v>
      </c>
      <c r="AT256" t="s">
        <v>79</v>
      </c>
      <c r="AU256" t="str">
        <f>""</f>
        <v/>
      </c>
      <c r="AV256" t="str">
        <f>""</f>
        <v/>
      </c>
      <c r="AW256" t="s">
        <v>79</v>
      </c>
      <c r="AX256" t="str">
        <f>""</f>
        <v/>
      </c>
      <c r="AY256" t="s">
        <v>84</v>
      </c>
      <c r="BA256" t="s">
        <v>80</v>
      </c>
      <c r="BB256" t="s">
        <v>79</v>
      </c>
      <c r="BD256" t="s">
        <v>79</v>
      </c>
      <c r="BG256" t="s">
        <v>82</v>
      </c>
      <c r="BH256">
        <v>6</v>
      </c>
      <c r="BI256" t="s">
        <v>1014</v>
      </c>
      <c r="BJ256" s="2" t="s">
        <v>1015</v>
      </c>
      <c r="BK256" t="str">
        <f>"beach Road Garapan"</f>
        <v>beach Road Garapan</v>
      </c>
      <c r="BL256" t="str">
        <f>""</f>
        <v/>
      </c>
      <c r="BM256" t="str">
        <f>"Saipan"</f>
        <v>Saipan</v>
      </c>
      <c r="BO256" t="s">
        <v>83</v>
      </c>
      <c r="BP256" s="4" t="str">
        <f t="shared" si="157"/>
        <v>96950</v>
      </c>
      <c r="BQ256" t="s">
        <v>79</v>
      </c>
      <c r="BR256" t="str">
        <f>"35-2014.00"</f>
        <v>35-2014.00</v>
      </c>
      <c r="BS256" t="s">
        <v>117</v>
      </c>
      <c r="BT256" s="3">
        <v>8.5500000000000007</v>
      </c>
      <c r="BU256" t="s">
        <v>80</v>
      </c>
      <c r="BV256" t="s">
        <v>90</v>
      </c>
      <c r="BW256" t="s">
        <v>92</v>
      </c>
      <c r="BZ256" s="1">
        <v>45107</v>
      </c>
    </row>
    <row r="257" spans="1:78" ht="15" customHeight="1" x14ac:dyDescent="0.25">
      <c r="A257" t="s">
        <v>1016</v>
      </c>
      <c r="B257" t="s">
        <v>94</v>
      </c>
      <c r="C257" s="1">
        <v>44850</v>
      </c>
      <c r="D257" s="1">
        <v>44895</v>
      </c>
      <c r="H257" t="s">
        <v>78</v>
      </c>
      <c r="I257" t="str">
        <f>"Barcinas"</f>
        <v>Barcinas</v>
      </c>
      <c r="J257" t="str">
        <f>"Jonas"</f>
        <v>Jonas</v>
      </c>
      <c r="K257" t="str">
        <f>"M"</f>
        <v>M</v>
      </c>
      <c r="L257" t="str">
        <f>"Owner"</f>
        <v>Owner</v>
      </c>
      <c r="M257" t="str">
        <f>"PO Box 503496"</f>
        <v>PO Box 503496</v>
      </c>
      <c r="N257" t="str">
        <f>""</f>
        <v/>
      </c>
      <c r="O257" t="str">
        <f t="shared" si="163"/>
        <v>Saipan</v>
      </c>
      <c r="P257" t="str">
        <f t="shared" si="158"/>
        <v>MP</v>
      </c>
      <c r="Q257" s="4" t="str">
        <f t="shared" si="159"/>
        <v>96950</v>
      </c>
      <c r="R257" t="str">
        <f t="shared" si="132"/>
        <v>UNITED STATES OF AMERICA</v>
      </c>
      <c r="S257" t="str">
        <f>"Northern Marianas Island"</f>
        <v>Northern Marianas Island</v>
      </c>
      <c r="T257" s="5" t="str">
        <f>"16709899218"</f>
        <v>16709899218</v>
      </c>
      <c r="U257" t="str">
        <f>""</f>
        <v/>
      </c>
      <c r="V257" s="5" t="str">
        <f>""</f>
        <v/>
      </c>
      <c r="W257" t="str">
        <f>"rjsmanpower2021@gnail.com"</f>
        <v>rjsmanpower2021@gnail.com</v>
      </c>
      <c r="X257" t="str">
        <f>"Jonas Barcinas"</f>
        <v>Jonas Barcinas</v>
      </c>
      <c r="Y257" t="str">
        <f>"RJ's Manpower Agency"</f>
        <v>RJ's Manpower Agency</v>
      </c>
      <c r="Z257" t="str">
        <f>"PO box 503496"</f>
        <v>PO box 503496</v>
      </c>
      <c r="AA257" t="str">
        <f>""</f>
        <v/>
      </c>
      <c r="AB257" t="str">
        <f>"Saipan"</f>
        <v>Saipan</v>
      </c>
      <c r="AC257" t="str">
        <f t="shared" si="141"/>
        <v>MP</v>
      </c>
      <c r="AD257" t="str">
        <f t="shared" si="156"/>
        <v>96950</v>
      </c>
      <c r="AE257" t="str">
        <f t="shared" si="142"/>
        <v>UNITED STATES OF AMERICA</v>
      </c>
      <c r="AF257" t="str">
        <f>"Northern Marianas Island"</f>
        <v>Northern Marianas Island</v>
      </c>
      <c r="AG257" s="4" t="str">
        <f>"16709899218"</f>
        <v>16709899218</v>
      </c>
      <c r="AH257" t="str">
        <f>""</f>
        <v/>
      </c>
      <c r="AI257" t="str">
        <f>"561320"</f>
        <v>561320</v>
      </c>
      <c r="AJ257" t="s">
        <v>79</v>
      </c>
      <c r="AK257" t="s">
        <v>79</v>
      </c>
      <c r="AL257" t="s">
        <v>80</v>
      </c>
      <c r="AM257" t="s">
        <v>79</v>
      </c>
      <c r="AP257" t="str">
        <f>"General Maintenance "</f>
        <v xml:space="preserve">General Maintenance </v>
      </c>
      <c r="AQ257" t="str">
        <f>"49-9071.00"</f>
        <v>49-9071.00</v>
      </c>
      <c r="AR257" t="str">
        <f>"Maintenance and Repair Workers, General"</f>
        <v>Maintenance and Repair Workers, General</v>
      </c>
      <c r="AS257" t="str">
        <f>"NA"</f>
        <v>NA</v>
      </c>
      <c r="AT257" t="s">
        <v>79</v>
      </c>
      <c r="AU257" t="str">
        <f>""</f>
        <v/>
      </c>
      <c r="AV257" t="str">
        <f>""</f>
        <v/>
      </c>
      <c r="AW257" t="s">
        <v>79</v>
      </c>
      <c r="AX257" t="str">
        <f>""</f>
        <v/>
      </c>
      <c r="AY257" t="s">
        <v>84</v>
      </c>
      <c r="BA257" t="s">
        <v>206</v>
      </c>
      <c r="BB257" t="s">
        <v>79</v>
      </c>
      <c r="BD257" t="s">
        <v>79</v>
      </c>
      <c r="BG257" t="s">
        <v>79</v>
      </c>
      <c r="BJ257" t="s">
        <v>80</v>
      </c>
      <c r="BK257" t="str">
        <f>"503496 Buenas Dias Dandan "</f>
        <v xml:space="preserve">503496 Buenas Dias Dandan </v>
      </c>
      <c r="BL257" t="str">
        <f>""</f>
        <v/>
      </c>
      <c r="BM257" t="str">
        <f>"Saipan"</f>
        <v>Saipan</v>
      </c>
      <c r="BO257" t="s">
        <v>83</v>
      </c>
      <c r="BP257" s="4" t="str">
        <f t="shared" si="157"/>
        <v>96950</v>
      </c>
      <c r="BQ257" t="s">
        <v>79</v>
      </c>
      <c r="BR257" t="str">
        <f>"49-9071.00"</f>
        <v>49-9071.00</v>
      </c>
      <c r="BS257" t="s">
        <v>146</v>
      </c>
      <c r="BT257" s="3">
        <v>9.19</v>
      </c>
      <c r="BU257" t="s">
        <v>80</v>
      </c>
      <c r="BV257" t="s">
        <v>90</v>
      </c>
      <c r="BW257" t="s">
        <v>92</v>
      </c>
      <c r="BZ257" s="1">
        <v>45107</v>
      </c>
    </row>
    <row r="258" spans="1:78" ht="15" customHeight="1" x14ac:dyDescent="0.25">
      <c r="A258" t="s">
        <v>745</v>
      </c>
      <c r="B258" t="s">
        <v>94</v>
      </c>
      <c r="C258" s="1">
        <v>44834</v>
      </c>
      <c r="D258" s="1">
        <v>44895</v>
      </c>
      <c r="H258" t="s">
        <v>78</v>
      </c>
      <c r="I258" t="str">
        <f>"Ham"</f>
        <v>Ham</v>
      </c>
      <c r="J258" t="str">
        <f>"Jun"</f>
        <v>Jun</v>
      </c>
      <c r="K258" t="str">
        <f>""</f>
        <v/>
      </c>
      <c r="L258" t="str">
        <f>"Human Resources Manager"</f>
        <v>Human Resources Manager</v>
      </c>
      <c r="M258" t="str">
        <f>"PO Box 500066"</f>
        <v>PO Box 500066</v>
      </c>
      <c r="N258" t="str">
        <f>""</f>
        <v/>
      </c>
      <c r="O258" t="str">
        <f t="shared" si="163"/>
        <v>Saipan</v>
      </c>
      <c r="P258" t="str">
        <f t="shared" si="158"/>
        <v>MP</v>
      </c>
      <c r="Q258" s="4" t="str">
        <f t="shared" si="159"/>
        <v>96950</v>
      </c>
      <c r="R258" t="str">
        <f t="shared" ref="R258:R321" si="164">"UNITED STATES OF AMERICA"</f>
        <v>UNITED STATES OF AMERICA</v>
      </c>
      <c r="S258" t="str">
        <f>""</f>
        <v/>
      </c>
      <c r="T258" s="5" t="str">
        <f>"16702345900"</f>
        <v>16702345900</v>
      </c>
      <c r="U258" t="str">
        <f>"574"</f>
        <v>574</v>
      </c>
      <c r="V258" s="5" t="str">
        <f>""</f>
        <v/>
      </c>
      <c r="W258" t="str">
        <f>"junham@hanwha.com"</f>
        <v>junham@hanwha.com</v>
      </c>
      <c r="X258" t="str">
        <f>"World Corporation"</f>
        <v>World Corporation</v>
      </c>
      <c r="Y258" t="str">
        <f>"Saipan World Resort"</f>
        <v>Saipan World Resort</v>
      </c>
      <c r="Z258" t="str">
        <f>"PO Box 500066"</f>
        <v>PO Box 500066</v>
      </c>
      <c r="AA258" t="str">
        <f>""</f>
        <v/>
      </c>
      <c r="AB258" t="str">
        <f>"Saipan"</f>
        <v>Saipan</v>
      </c>
      <c r="AC258" t="str">
        <f t="shared" ref="AC258:AC268" si="165">"MP"</f>
        <v>MP</v>
      </c>
      <c r="AD258" t="str">
        <f t="shared" si="156"/>
        <v>96950</v>
      </c>
      <c r="AE258" t="str">
        <f t="shared" ref="AE258:AE321" si="166">"UNITED STATES OF AMERICA"</f>
        <v>UNITED STATES OF AMERICA</v>
      </c>
      <c r="AF258" t="str">
        <f>""</f>
        <v/>
      </c>
      <c r="AG258" s="4" t="str">
        <f>"16702345900"</f>
        <v>16702345900</v>
      </c>
      <c r="AH258" t="str">
        <f>"575"</f>
        <v>575</v>
      </c>
      <c r="AI258" t="str">
        <f>"721110"</f>
        <v>721110</v>
      </c>
      <c r="AJ258" t="s">
        <v>79</v>
      </c>
      <c r="AK258" t="s">
        <v>79</v>
      </c>
      <c r="AL258" t="s">
        <v>80</v>
      </c>
      <c r="AM258" t="s">
        <v>79</v>
      </c>
      <c r="AP258" t="str">
        <f>"Demi Chef"</f>
        <v>Demi Chef</v>
      </c>
      <c r="AQ258" t="str">
        <f>"35-1012.00"</f>
        <v>35-1012.00</v>
      </c>
      <c r="AR258" t="str">
        <f>"First-Line Supervisors of Food Preparation and Serving Workers"</f>
        <v>First-Line Supervisors of Food Preparation and Serving Workers</v>
      </c>
      <c r="AS258" t="str">
        <f>"Chef de Cuisine"</f>
        <v>Chef de Cuisine</v>
      </c>
      <c r="AT258" t="s">
        <v>82</v>
      </c>
      <c r="AU258" t="str">
        <f>"2"</f>
        <v>2</v>
      </c>
      <c r="AV258" t="str">
        <f>"Peer"</f>
        <v>Peer</v>
      </c>
      <c r="AW258" t="s">
        <v>79</v>
      </c>
      <c r="AX258" t="str">
        <f>""</f>
        <v/>
      </c>
      <c r="AY258" t="s">
        <v>84</v>
      </c>
      <c r="BA258" t="s">
        <v>119</v>
      </c>
      <c r="BB258" t="s">
        <v>79</v>
      </c>
      <c r="BD258" t="s">
        <v>79</v>
      </c>
      <c r="BG258" t="s">
        <v>82</v>
      </c>
      <c r="BH258">
        <v>12</v>
      </c>
      <c r="BI258" t="s">
        <v>746</v>
      </c>
      <c r="BJ258" t="s">
        <v>702</v>
      </c>
      <c r="BK258" t="str">
        <f>"Beach Road Susupe"</f>
        <v>Beach Road Susupe</v>
      </c>
      <c r="BL258" t="str">
        <f>""</f>
        <v/>
      </c>
      <c r="BM258" t="str">
        <f>"Saipan"</f>
        <v>Saipan</v>
      </c>
      <c r="BO258" t="s">
        <v>83</v>
      </c>
      <c r="BP258" s="4" t="str">
        <f t="shared" si="157"/>
        <v>96950</v>
      </c>
      <c r="BQ258" t="s">
        <v>79</v>
      </c>
      <c r="BR258" t="str">
        <f>"35-1011.00"</f>
        <v>35-1011.00</v>
      </c>
      <c r="BS258" t="s">
        <v>740</v>
      </c>
      <c r="BT258" s="3">
        <v>13.71</v>
      </c>
      <c r="BU258" t="s">
        <v>80</v>
      </c>
      <c r="BV258" t="s">
        <v>90</v>
      </c>
      <c r="BW258" t="s">
        <v>92</v>
      </c>
      <c r="BY258" s="2" t="s">
        <v>610</v>
      </c>
      <c r="BZ258" s="1">
        <v>45107</v>
      </c>
    </row>
    <row r="259" spans="1:78" ht="15" customHeight="1" x14ac:dyDescent="0.25">
      <c r="A259" t="s">
        <v>106</v>
      </c>
      <c r="B259" t="s">
        <v>94</v>
      </c>
      <c r="C259" s="1">
        <v>44788</v>
      </c>
      <c r="D259" s="1">
        <v>44895</v>
      </c>
      <c r="H259" t="s">
        <v>78</v>
      </c>
      <c r="I259" t="str">
        <f>"Tabago"</f>
        <v>Tabago</v>
      </c>
      <c r="J259" t="str">
        <f>"Roger"</f>
        <v>Roger</v>
      </c>
      <c r="K259" t="str">
        <f>"Pablo"</f>
        <v>Pablo</v>
      </c>
      <c r="L259" t="str">
        <f>"Manager"</f>
        <v>Manager</v>
      </c>
      <c r="M259" t="str">
        <f>"Isa Drive, Capitol Hills"</f>
        <v>Isa Drive, Capitol Hills</v>
      </c>
      <c r="N259" t="str">
        <f>"N/A"</f>
        <v>N/A</v>
      </c>
      <c r="O259" t="str">
        <f t="shared" si="163"/>
        <v>Saipan</v>
      </c>
      <c r="P259" t="str">
        <f t="shared" si="158"/>
        <v>MP</v>
      </c>
      <c r="Q259" s="4" t="str">
        <f t="shared" si="159"/>
        <v>96950</v>
      </c>
      <c r="R259" t="str">
        <f t="shared" si="164"/>
        <v>UNITED STATES OF AMERICA</v>
      </c>
      <c r="S259" t="str">
        <f>"N/A"</f>
        <v>N/A</v>
      </c>
      <c r="T259" s="5" t="str">
        <f>"16707898360"</f>
        <v>16707898360</v>
      </c>
      <c r="U259" t="str">
        <f>"0"</f>
        <v>0</v>
      </c>
      <c r="V259" s="5" t="str">
        <f>""</f>
        <v/>
      </c>
      <c r="W259" t="str">
        <f>"jhercreative@gmail.com"</f>
        <v>jhercreative@gmail.com</v>
      </c>
      <c r="X259" t="str">
        <f>"Jher Marianas Creative LLC"</f>
        <v>Jher Marianas Creative LLC</v>
      </c>
      <c r="Y259" t="str">
        <f>"Jher Manpower Services"</f>
        <v>Jher Manpower Services</v>
      </c>
      <c r="Z259" t="str">
        <f>"Unit#106 Pangelinan Building, Fafa Pi Chalan LauLau"</f>
        <v>Unit#106 Pangelinan Building, Fafa Pi Chalan LauLau</v>
      </c>
      <c r="AA259" t="str">
        <f>"N/A"</f>
        <v>N/A</v>
      </c>
      <c r="AB259" t="str">
        <f>"Saipan"</f>
        <v>Saipan</v>
      </c>
      <c r="AC259" t="str">
        <f t="shared" si="165"/>
        <v>MP</v>
      </c>
      <c r="AD259" t="str">
        <f t="shared" si="156"/>
        <v>96950</v>
      </c>
      <c r="AE259" t="str">
        <f t="shared" si="166"/>
        <v>UNITED STATES OF AMERICA</v>
      </c>
      <c r="AF259" t="str">
        <f>"N/A"</f>
        <v>N/A</v>
      </c>
      <c r="AG259" s="4" t="str">
        <f>"16707898360"</f>
        <v>16707898360</v>
      </c>
      <c r="AH259" t="str">
        <f>"0"</f>
        <v>0</v>
      </c>
      <c r="AI259" t="str">
        <f>"56132"</f>
        <v>56132</v>
      </c>
      <c r="AJ259" t="s">
        <v>79</v>
      </c>
      <c r="AK259" t="s">
        <v>79</v>
      </c>
      <c r="AL259" t="s">
        <v>80</v>
      </c>
      <c r="AM259" t="s">
        <v>79</v>
      </c>
      <c r="AP259" t="str">
        <f>"Housekeeping"</f>
        <v>Housekeeping</v>
      </c>
      <c r="AQ259" t="str">
        <f>"37-2012.00"</f>
        <v>37-2012.00</v>
      </c>
      <c r="AR259" t="str">
        <f>"Maids and Housekeeping Cleaners"</f>
        <v>Maids and Housekeeping Cleaners</v>
      </c>
      <c r="AS259" t="str">
        <f>"Manager"</f>
        <v>Manager</v>
      </c>
      <c r="AT259" t="s">
        <v>79</v>
      </c>
      <c r="AU259" t="str">
        <f>""</f>
        <v/>
      </c>
      <c r="AV259" t="str">
        <f>""</f>
        <v/>
      </c>
      <c r="AW259" t="s">
        <v>79</v>
      </c>
      <c r="AX259" t="str">
        <f>""</f>
        <v/>
      </c>
      <c r="AY259" t="s">
        <v>84</v>
      </c>
      <c r="BA259" t="s">
        <v>80</v>
      </c>
      <c r="BB259" t="s">
        <v>79</v>
      </c>
      <c r="BD259" t="s">
        <v>79</v>
      </c>
      <c r="BG259" t="s">
        <v>82</v>
      </c>
      <c r="BH259">
        <v>3</v>
      </c>
      <c r="BI259" t="s">
        <v>107</v>
      </c>
      <c r="BJ259" s="2" t="s">
        <v>108</v>
      </c>
      <c r="BK259" t="str">
        <f>"Unit#106 Pangelinan Building, fafa Pi, Chalan LauLau"</f>
        <v>Unit#106 Pangelinan Building, fafa Pi, Chalan LauLau</v>
      </c>
      <c r="BL259" t="str">
        <f>""</f>
        <v/>
      </c>
      <c r="BM259" t="str">
        <f>"Saipan"</f>
        <v>Saipan</v>
      </c>
      <c r="BO259" t="s">
        <v>83</v>
      </c>
      <c r="BP259" s="4" t="str">
        <f t="shared" si="157"/>
        <v>96950</v>
      </c>
      <c r="BQ259" t="s">
        <v>79</v>
      </c>
      <c r="BR259" t="str">
        <f>"37-2012.00"</f>
        <v>37-2012.00</v>
      </c>
      <c r="BS259" t="s">
        <v>109</v>
      </c>
      <c r="BT259" s="3">
        <v>7.56</v>
      </c>
      <c r="BU259" t="s">
        <v>80</v>
      </c>
      <c r="BV259" t="s">
        <v>90</v>
      </c>
      <c r="BW259" t="s">
        <v>92</v>
      </c>
      <c r="BZ259" s="1">
        <v>45107</v>
      </c>
    </row>
    <row r="260" spans="1:78" ht="15" customHeight="1" x14ac:dyDescent="0.25">
      <c r="A260" t="s">
        <v>110</v>
      </c>
      <c r="B260" t="s">
        <v>94</v>
      </c>
      <c r="C260" s="1">
        <v>44788</v>
      </c>
      <c r="D260" s="1">
        <v>44895</v>
      </c>
      <c r="H260" t="s">
        <v>78</v>
      </c>
      <c r="I260" t="str">
        <f>"Legaspi"</f>
        <v>Legaspi</v>
      </c>
      <c r="J260" t="str">
        <f>"Aldrin"</f>
        <v>Aldrin</v>
      </c>
      <c r="K260" t="str">
        <f>"Villanueva"</f>
        <v>Villanueva</v>
      </c>
      <c r="L260" t="str">
        <f>"General Manager"</f>
        <v>General Manager</v>
      </c>
      <c r="M260" t="str">
        <f>"Marianas Business Plaza "</f>
        <v xml:space="preserve">Marianas Business Plaza </v>
      </c>
      <c r="N260" t="str">
        <f>"1F Suite 100"</f>
        <v>1F Suite 100</v>
      </c>
      <c r="O260" t="str">
        <f t="shared" si="163"/>
        <v>Saipan</v>
      </c>
      <c r="P260" t="str">
        <f t="shared" si="158"/>
        <v>MP</v>
      </c>
      <c r="Q260" s="4" t="str">
        <f t="shared" si="159"/>
        <v>96950</v>
      </c>
      <c r="R260" t="str">
        <f t="shared" si="164"/>
        <v>UNITED STATES OF AMERICA</v>
      </c>
      <c r="S260" t="str">
        <f>"NMI"</f>
        <v>NMI</v>
      </c>
      <c r="T260" s="5" t="str">
        <f>"16702344000"</f>
        <v>16702344000</v>
      </c>
      <c r="U260" t="str">
        <f>""</f>
        <v/>
      </c>
      <c r="V260" s="5" t="str">
        <f>""</f>
        <v/>
      </c>
      <c r="W260" t="str">
        <f>"aldrin.fmcorporation@gmail.com"</f>
        <v>aldrin.fmcorporation@gmail.com</v>
      </c>
      <c r="X260" t="str">
        <f>"FM Corporation"</f>
        <v>FM Corporation</v>
      </c>
      <c r="Y260" t="str">
        <f>"FM Manpower"</f>
        <v>FM Manpower</v>
      </c>
      <c r="Z260" t="str">
        <f>"Marianas Business Plaza 1F Suite 100"</f>
        <v>Marianas Business Plaza 1F Suite 100</v>
      </c>
      <c r="AA260" t="str">
        <f>"Nauru Loop, Susupe"</f>
        <v>Nauru Loop, Susupe</v>
      </c>
      <c r="AB260" t="str">
        <f>"SAIPAN"</f>
        <v>SAIPAN</v>
      </c>
      <c r="AC260" t="str">
        <f t="shared" si="165"/>
        <v>MP</v>
      </c>
      <c r="AD260" t="str">
        <f t="shared" si="156"/>
        <v>96950</v>
      </c>
      <c r="AE260" t="str">
        <f t="shared" si="166"/>
        <v>UNITED STATES OF AMERICA</v>
      </c>
      <c r="AF260" t="str">
        <f>"NMI"</f>
        <v>NMI</v>
      </c>
      <c r="AG260" s="4" t="str">
        <f>"16702344000"</f>
        <v>16702344000</v>
      </c>
      <c r="AH260" t="str">
        <f>""</f>
        <v/>
      </c>
      <c r="AI260" t="str">
        <f>"561320"</f>
        <v>561320</v>
      </c>
      <c r="AJ260" t="s">
        <v>79</v>
      </c>
      <c r="AK260" t="s">
        <v>79</v>
      </c>
      <c r="AL260" t="s">
        <v>80</v>
      </c>
      <c r="AM260" t="s">
        <v>79</v>
      </c>
      <c r="AP260" t="str">
        <f>"Cement Mason "</f>
        <v xml:space="preserve">Cement Mason </v>
      </c>
      <c r="AQ260" t="str">
        <f>"47-2051.00"</f>
        <v>47-2051.00</v>
      </c>
      <c r="AR260" t="str">
        <f>"Cement Masons and Concrete Finishers"</f>
        <v>Cement Masons and Concrete Finishers</v>
      </c>
      <c r="AS260" t="str">
        <f>"N/A"</f>
        <v>N/A</v>
      </c>
      <c r="AT260" t="s">
        <v>79</v>
      </c>
      <c r="AU260" t="str">
        <f>""</f>
        <v/>
      </c>
      <c r="AV260" t="str">
        <f>""</f>
        <v/>
      </c>
      <c r="AW260" t="s">
        <v>79</v>
      </c>
      <c r="AX260" t="str">
        <f>""</f>
        <v/>
      </c>
      <c r="AY260" t="s">
        <v>84</v>
      </c>
      <c r="BA260" t="s">
        <v>80</v>
      </c>
      <c r="BB260" t="s">
        <v>79</v>
      </c>
      <c r="BD260" t="s">
        <v>82</v>
      </c>
      <c r="BE260">
        <v>3</v>
      </c>
      <c r="BF260" t="s">
        <v>111</v>
      </c>
      <c r="BG260" t="s">
        <v>82</v>
      </c>
      <c r="BH260">
        <v>3</v>
      </c>
      <c r="BI260" t="s">
        <v>111</v>
      </c>
      <c r="BJ260" t="s">
        <v>112</v>
      </c>
      <c r="BK260" t="str">
        <f>"Marianas Business Plaza 1F Suite 100"</f>
        <v>Marianas Business Plaza 1F Suite 100</v>
      </c>
      <c r="BL260" t="str">
        <f>"Nauru Loop, Susupe"</f>
        <v>Nauru Loop, Susupe</v>
      </c>
      <c r="BM260" t="str">
        <f>"SAIPAN"</f>
        <v>SAIPAN</v>
      </c>
      <c r="BO260" t="s">
        <v>83</v>
      </c>
      <c r="BP260" s="4" t="str">
        <f t="shared" si="157"/>
        <v>96950</v>
      </c>
      <c r="BQ260" t="s">
        <v>79</v>
      </c>
      <c r="BR260" t="str">
        <f>"47-2051.00"</f>
        <v>47-2051.00</v>
      </c>
      <c r="BS260" t="s">
        <v>113</v>
      </c>
      <c r="BT260" s="3">
        <v>8.5500000000000007</v>
      </c>
      <c r="BU260" t="s">
        <v>80</v>
      </c>
      <c r="BV260" t="s">
        <v>90</v>
      </c>
      <c r="BW260" t="s">
        <v>92</v>
      </c>
      <c r="BZ260" s="1">
        <v>45107</v>
      </c>
    </row>
    <row r="261" spans="1:78" ht="15" customHeight="1" x14ac:dyDescent="0.25">
      <c r="A261" t="s">
        <v>940</v>
      </c>
      <c r="B261" t="s">
        <v>94</v>
      </c>
      <c r="C261" s="1">
        <v>44845</v>
      </c>
      <c r="D261" s="1">
        <v>44894</v>
      </c>
      <c r="H261" t="s">
        <v>78</v>
      </c>
      <c r="I261" t="str">
        <f>"Cataluna"</f>
        <v>Cataluna</v>
      </c>
      <c r="J261" t="str">
        <f>"Freddie"</f>
        <v>Freddie</v>
      </c>
      <c r="K261" t="str">
        <f>"Zamora"</f>
        <v>Zamora</v>
      </c>
      <c r="L261" t="str">
        <f>"President"</f>
        <v>President</v>
      </c>
      <c r="M261" t="str">
        <f>"P.O. Box 503984 CK"</f>
        <v>P.O. Box 503984 CK</v>
      </c>
      <c r="N261" t="str">
        <f>""</f>
        <v/>
      </c>
      <c r="O261" t="str">
        <f t="shared" si="163"/>
        <v>Saipan</v>
      </c>
      <c r="P261" t="str">
        <f t="shared" si="158"/>
        <v>MP</v>
      </c>
      <c r="Q261" s="4" t="str">
        <f t="shared" si="159"/>
        <v>96950</v>
      </c>
      <c r="R261" t="str">
        <f t="shared" si="164"/>
        <v>UNITED STATES OF AMERICA</v>
      </c>
      <c r="S261" t="str">
        <f>"N/A"</f>
        <v>N/A</v>
      </c>
      <c r="T261" s="5" t="str">
        <f>"16702336927"</f>
        <v>16702336927</v>
      </c>
      <c r="U261" t="str">
        <f>""</f>
        <v/>
      </c>
      <c r="V261" s="5" t="str">
        <f>""</f>
        <v/>
      </c>
      <c r="W261" t="str">
        <f>"cpacificcorp@gmail.com"</f>
        <v>cpacificcorp@gmail.com</v>
      </c>
      <c r="X261" t="str">
        <f>"C PACIFIC CORPORATION"</f>
        <v>C PACIFIC CORPORATION</v>
      </c>
      <c r="Y261" t="str">
        <f>"RELIANCE HELP SUPPLY"</f>
        <v>RELIANCE HELP SUPPLY</v>
      </c>
      <c r="Z261" t="str">
        <f>"Beach Road San Antonio Village"</f>
        <v>Beach Road San Antonio Village</v>
      </c>
      <c r="AA261" t="str">
        <f>""</f>
        <v/>
      </c>
      <c r="AB261" t="str">
        <f>"SAIPAN"</f>
        <v>SAIPAN</v>
      </c>
      <c r="AC261" t="str">
        <f t="shared" si="165"/>
        <v>MP</v>
      </c>
      <c r="AD261" t="str">
        <f t="shared" si="156"/>
        <v>96950</v>
      </c>
      <c r="AE261" t="str">
        <f t="shared" si="166"/>
        <v>UNITED STATES OF AMERICA</v>
      </c>
      <c r="AF261" t="str">
        <f>"N/A"</f>
        <v>N/A</v>
      </c>
      <c r="AG261" s="4" t="str">
        <f>"16702336927"</f>
        <v>16702336927</v>
      </c>
      <c r="AH261" t="str">
        <f>""</f>
        <v/>
      </c>
      <c r="AI261" t="str">
        <f>"561320"</f>
        <v>561320</v>
      </c>
      <c r="AJ261" t="s">
        <v>79</v>
      </c>
      <c r="AK261" t="s">
        <v>79</v>
      </c>
      <c r="AL261" t="s">
        <v>80</v>
      </c>
      <c r="AM261" t="s">
        <v>79</v>
      </c>
      <c r="AP261" t="str">
        <f>"Cook"</f>
        <v>Cook</v>
      </c>
      <c r="AQ261" t="str">
        <f>"35-2019.00"</f>
        <v>35-2019.00</v>
      </c>
      <c r="AR261" t="str">
        <f>"Cooks, All Other"</f>
        <v>Cooks, All Other</v>
      </c>
      <c r="AS261" t="str">
        <f>"Head Cooks"</f>
        <v>Head Cooks</v>
      </c>
      <c r="AT261" t="s">
        <v>79</v>
      </c>
      <c r="AU261" t="str">
        <f>""</f>
        <v/>
      </c>
      <c r="AV261" t="str">
        <f>""</f>
        <v/>
      </c>
      <c r="AW261" t="s">
        <v>79</v>
      </c>
      <c r="AX261" t="str">
        <f>""</f>
        <v/>
      </c>
      <c r="AY261" t="s">
        <v>84</v>
      </c>
      <c r="BA261" t="s">
        <v>80</v>
      </c>
      <c r="BB261" t="s">
        <v>79</v>
      </c>
      <c r="BD261" t="s">
        <v>79</v>
      </c>
      <c r="BG261" t="s">
        <v>82</v>
      </c>
      <c r="BH261">
        <v>12</v>
      </c>
      <c r="BI261" t="s">
        <v>319</v>
      </c>
      <c r="BJ261" t="s">
        <v>941</v>
      </c>
      <c r="BK261" t="str">
        <f>"Beach Road San Antonio"</f>
        <v>Beach Road San Antonio</v>
      </c>
      <c r="BL261" t="str">
        <f>""</f>
        <v/>
      </c>
      <c r="BM261" t="str">
        <f>"SAIPAN"</f>
        <v>SAIPAN</v>
      </c>
      <c r="BO261" t="s">
        <v>83</v>
      </c>
      <c r="BP261" s="4" t="str">
        <f t="shared" si="157"/>
        <v>96950</v>
      </c>
      <c r="BQ261" t="s">
        <v>79</v>
      </c>
      <c r="BR261" t="str">
        <f>"35-2014.00"</f>
        <v>35-2014.00</v>
      </c>
      <c r="BS261" t="s">
        <v>117</v>
      </c>
      <c r="BT261" s="3">
        <v>8.5500000000000007</v>
      </c>
      <c r="BU261" t="s">
        <v>80</v>
      </c>
      <c r="BV261" t="s">
        <v>90</v>
      </c>
      <c r="BW261" t="s">
        <v>92</v>
      </c>
      <c r="BZ261" s="1">
        <v>45107</v>
      </c>
    </row>
    <row r="262" spans="1:78" ht="15" customHeight="1" x14ac:dyDescent="0.25">
      <c r="A262" t="s">
        <v>1004</v>
      </c>
      <c r="B262" t="s">
        <v>94</v>
      </c>
      <c r="C262" s="1">
        <v>44849</v>
      </c>
      <c r="D262" s="1">
        <v>44893</v>
      </c>
      <c r="H262" t="s">
        <v>78</v>
      </c>
      <c r="I262" t="str">
        <f>"RAMIREZ"</f>
        <v>RAMIREZ</v>
      </c>
      <c r="J262" t="str">
        <f>"CESAR"</f>
        <v>CESAR</v>
      </c>
      <c r="K262" t="str">
        <f>"P"</f>
        <v>P</v>
      </c>
      <c r="L262" t="str">
        <f>"SECRETARY"</f>
        <v>SECRETARY</v>
      </c>
      <c r="M262" t="str">
        <f>"CHALAN PIAO"</f>
        <v>CHALAN PIAO</v>
      </c>
      <c r="N262" t="str">
        <f>""</f>
        <v/>
      </c>
      <c r="O262" t="str">
        <f>"SAIPAN"</f>
        <v>SAIPAN</v>
      </c>
      <c r="P262" t="str">
        <f t="shared" si="158"/>
        <v>MP</v>
      </c>
      <c r="Q262" s="4" t="str">
        <f t="shared" si="159"/>
        <v>96950</v>
      </c>
      <c r="R262" t="str">
        <f t="shared" si="164"/>
        <v>UNITED STATES OF AMERICA</v>
      </c>
      <c r="S262" t="str">
        <f>""</f>
        <v/>
      </c>
      <c r="T262" s="5" t="str">
        <f>"16702356129"</f>
        <v>16702356129</v>
      </c>
      <c r="U262" t="str">
        <f>""</f>
        <v/>
      </c>
      <c r="V262" s="5" t="str">
        <f>""</f>
        <v/>
      </c>
      <c r="W262" t="str">
        <f>"goldencorp216@gmail.com"</f>
        <v>goldencorp216@gmail.com</v>
      </c>
      <c r="X262" t="str">
        <f>"GOLDEN CORPORATION"</f>
        <v>GOLDEN CORPORATION</v>
      </c>
      <c r="Y262" t="str">
        <f>"MANPOWER SERVICES"</f>
        <v>MANPOWER SERVICES</v>
      </c>
      <c r="Z262" t="str">
        <f>"CHALAN PIAO "</f>
        <v xml:space="preserve">CHALAN PIAO </v>
      </c>
      <c r="AA262" t="str">
        <f>""</f>
        <v/>
      </c>
      <c r="AB262" t="str">
        <f>"SAIPAN"</f>
        <v>SAIPAN</v>
      </c>
      <c r="AC262" t="str">
        <f t="shared" si="165"/>
        <v>MP</v>
      </c>
      <c r="AD262" t="str">
        <f t="shared" si="156"/>
        <v>96950</v>
      </c>
      <c r="AE262" t="str">
        <f t="shared" si="166"/>
        <v>UNITED STATES OF AMERICA</v>
      </c>
      <c r="AF262" t="str">
        <f>""</f>
        <v/>
      </c>
      <c r="AG262" s="4" t="str">
        <f>"16702356129"</f>
        <v>16702356129</v>
      </c>
      <c r="AH262" t="str">
        <f>""</f>
        <v/>
      </c>
      <c r="AI262" t="str">
        <f>"56132"</f>
        <v>56132</v>
      </c>
      <c r="AJ262" t="s">
        <v>79</v>
      </c>
      <c r="AK262" t="s">
        <v>79</v>
      </c>
      <c r="AL262" t="s">
        <v>80</v>
      </c>
      <c r="AM262" t="s">
        <v>79</v>
      </c>
      <c r="AP262" t="str">
        <f>"General Maintenance"</f>
        <v>General Maintenance</v>
      </c>
      <c r="AQ262" t="str">
        <f>"49-9071.00"</f>
        <v>49-9071.00</v>
      </c>
      <c r="AR262" t="str">
        <f>"Maintenance and Repair Workers, General"</f>
        <v>Maintenance and Repair Workers, General</v>
      </c>
      <c r="AS262" t="str">
        <f>"Secretary"</f>
        <v>Secretary</v>
      </c>
      <c r="AT262" t="s">
        <v>79</v>
      </c>
      <c r="AU262" t="str">
        <f>""</f>
        <v/>
      </c>
      <c r="AV262" t="str">
        <f>""</f>
        <v/>
      </c>
      <c r="AW262" t="s">
        <v>79</v>
      </c>
      <c r="AX262" t="str">
        <f>""</f>
        <v/>
      </c>
      <c r="AY262" t="s">
        <v>84</v>
      </c>
      <c r="BA262" t="s">
        <v>161</v>
      </c>
      <c r="BB262" t="s">
        <v>79</v>
      </c>
      <c r="BD262" t="s">
        <v>79</v>
      </c>
      <c r="BG262" t="s">
        <v>82</v>
      </c>
      <c r="BH262">
        <v>12</v>
      </c>
      <c r="BI262" t="s">
        <v>271</v>
      </c>
      <c r="BJ262" t="s">
        <v>161</v>
      </c>
      <c r="BK262" t="str">
        <f>"Saipan"</f>
        <v>Saipan</v>
      </c>
      <c r="BL262" t="str">
        <f>""</f>
        <v/>
      </c>
      <c r="BM262" t="str">
        <f>"Saipan"</f>
        <v>Saipan</v>
      </c>
      <c r="BO262" t="s">
        <v>83</v>
      </c>
      <c r="BP262" s="4" t="str">
        <f t="shared" si="157"/>
        <v>96950</v>
      </c>
      <c r="BQ262" t="s">
        <v>79</v>
      </c>
      <c r="BR262" t="str">
        <f>"49-9071.00"</f>
        <v>49-9071.00</v>
      </c>
      <c r="BS262" t="s">
        <v>146</v>
      </c>
      <c r="BT262" s="3">
        <v>9.19</v>
      </c>
      <c r="BU262" t="s">
        <v>80</v>
      </c>
      <c r="BV262" t="s">
        <v>90</v>
      </c>
      <c r="BW262" t="s">
        <v>92</v>
      </c>
      <c r="BZ262" s="1">
        <v>45107</v>
      </c>
    </row>
    <row r="263" spans="1:78" ht="15" customHeight="1" x14ac:dyDescent="0.25">
      <c r="A263" t="s">
        <v>1005</v>
      </c>
      <c r="B263" t="s">
        <v>94</v>
      </c>
      <c r="C263" s="1">
        <v>44849</v>
      </c>
      <c r="D263" s="1">
        <v>44893</v>
      </c>
      <c r="H263" t="s">
        <v>78</v>
      </c>
      <c r="I263" t="str">
        <f>"Ramirez"</f>
        <v>Ramirez</v>
      </c>
      <c r="J263" t="str">
        <f>"Cesar"</f>
        <v>Cesar</v>
      </c>
      <c r="K263" t="str">
        <f>"P"</f>
        <v>P</v>
      </c>
      <c r="L263" t="str">
        <f>"Secretary"</f>
        <v>Secretary</v>
      </c>
      <c r="M263" t="str">
        <f>"Saipan"</f>
        <v>Saipan</v>
      </c>
      <c r="N263" t="str">
        <f>""</f>
        <v/>
      </c>
      <c r="O263" t="str">
        <f>"Saipan"</f>
        <v>Saipan</v>
      </c>
      <c r="P263" t="str">
        <f t="shared" si="158"/>
        <v>MP</v>
      </c>
      <c r="Q263" s="4" t="str">
        <f t="shared" si="159"/>
        <v>96950</v>
      </c>
      <c r="R263" t="str">
        <f t="shared" si="164"/>
        <v>UNITED STATES OF AMERICA</v>
      </c>
      <c r="S263" t="str">
        <f>""</f>
        <v/>
      </c>
      <c r="T263" s="5" t="str">
        <f>"16702356129"</f>
        <v>16702356129</v>
      </c>
      <c r="U263" t="str">
        <f>""</f>
        <v/>
      </c>
      <c r="V263" s="5" t="str">
        <f>""</f>
        <v/>
      </c>
      <c r="W263" t="str">
        <f>"goldencorp216@gmail.com"</f>
        <v>goldencorp216@gmail.com</v>
      </c>
      <c r="X263" t="str">
        <f>"Golden Corporation"</f>
        <v>Golden Corporation</v>
      </c>
      <c r="Y263" t="str">
        <f>"Manpower Services"</f>
        <v>Manpower Services</v>
      </c>
      <c r="Z263" t="str">
        <f>"Saipan"</f>
        <v>Saipan</v>
      </c>
      <c r="AA263" t="str">
        <f>""</f>
        <v/>
      </c>
      <c r="AB263" t="str">
        <f>"Saipan"</f>
        <v>Saipan</v>
      </c>
      <c r="AC263" t="str">
        <f t="shared" si="165"/>
        <v>MP</v>
      </c>
      <c r="AD263" t="str">
        <f t="shared" si="156"/>
        <v>96950</v>
      </c>
      <c r="AE263" t="str">
        <f t="shared" si="166"/>
        <v>UNITED STATES OF AMERICA</v>
      </c>
      <c r="AF263" t="str">
        <f>""</f>
        <v/>
      </c>
      <c r="AG263" s="4" t="str">
        <f>"16702356129"</f>
        <v>16702356129</v>
      </c>
      <c r="AH263" t="str">
        <f>""</f>
        <v/>
      </c>
      <c r="AI263" t="str">
        <f>"56132"</f>
        <v>56132</v>
      </c>
      <c r="AJ263" t="s">
        <v>79</v>
      </c>
      <c r="AK263" t="s">
        <v>79</v>
      </c>
      <c r="AL263" t="s">
        <v>80</v>
      </c>
      <c r="AM263" t="s">
        <v>79</v>
      </c>
      <c r="AP263" t="str">
        <f>"Accountant"</f>
        <v>Accountant</v>
      </c>
      <c r="AQ263" t="str">
        <f>"13-2011.00"</f>
        <v>13-2011.00</v>
      </c>
      <c r="AR263" t="str">
        <f>"Accountants and Auditors"</f>
        <v>Accountants and Auditors</v>
      </c>
      <c r="AS263" t="str">
        <f>"Secretary"</f>
        <v>Secretary</v>
      </c>
      <c r="AT263" t="s">
        <v>79</v>
      </c>
      <c r="AU263" t="str">
        <f>""</f>
        <v/>
      </c>
      <c r="AV263" t="str">
        <f>""</f>
        <v/>
      </c>
      <c r="AW263" t="s">
        <v>79</v>
      </c>
      <c r="AX263" t="str">
        <f>""</f>
        <v/>
      </c>
      <c r="AY263" t="s">
        <v>95</v>
      </c>
      <c r="BA263" t="s">
        <v>1006</v>
      </c>
      <c r="BB263" t="s">
        <v>79</v>
      </c>
      <c r="BD263" t="s">
        <v>79</v>
      </c>
      <c r="BG263" t="s">
        <v>82</v>
      </c>
      <c r="BH263">
        <v>24</v>
      </c>
      <c r="BI263" t="s">
        <v>131</v>
      </c>
      <c r="BJ263" t="s">
        <v>1007</v>
      </c>
      <c r="BK263" t="str">
        <f>"Saipan"</f>
        <v>Saipan</v>
      </c>
      <c r="BL263" t="str">
        <f>""</f>
        <v/>
      </c>
      <c r="BM263" t="str">
        <f>"Saipan"</f>
        <v>Saipan</v>
      </c>
      <c r="BO263" t="s">
        <v>83</v>
      </c>
      <c r="BP263" s="4" t="str">
        <f t="shared" si="157"/>
        <v>96950</v>
      </c>
      <c r="BQ263" t="s">
        <v>79</v>
      </c>
      <c r="BR263" t="str">
        <f>"13-2011.00"</f>
        <v>13-2011.00</v>
      </c>
      <c r="BS263" t="s">
        <v>133</v>
      </c>
      <c r="BT263" s="3">
        <v>16.190000000000001</v>
      </c>
      <c r="BU263" t="s">
        <v>80</v>
      </c>
      <c r="BV263" t="s">
        <v>90</v>
      </c>
      <c r="BW263" t="s">
        <v>92</v>
      </c>
      <c r="BZ263" s="1">
        <v>45107</v>
      </c>
    </row>
    <row r="264" spans="1:78" ht="15" customHeight="1" x14ac:dyDescent="0.25">
      <c r="A264" t="s">
        <v>1008</v>
      </c>
      <c r="B264" t="s">
        <v>94</v>
      </c>
      <c r="C264" s="1">
        <v>44849</v>
      </c>
      <c r="D264" s="1">
        <v>44893</v>
      </c>
      <c r="H264" t="s">
        <v>78</v>
      </c>
      <c r="I264" t="str">
        <f>"Ramirez"</f>
        <v>Ramirez</v>
      </c>
      <c r="J264" t="str">
        <f>"Cesar"</f>
        <v>Cesar</v>
      </c>
      <c r="K264" t="str">
        <f>"P"</f>
        <v>P</v>
      </c>
      <c r="L264" t="str">
        <f>"Secretary"</f>
        <v>Secretary</v>
      </c>
      <c r="M264" t="str">
        <f>"Saipan"</f>
        <v>Saipan</v>
      </c>
      <c r="N264" t="str">
        <f>""</f>
        <v/>
      </c>
      <c r="O264" t="str">
        <f>"Saipan"</f>
        <v>Saipan</v>
      </c>
      <c r="P264" t="str">
        <f t="shared" si="158"/>
        <v>MP</v>
      </c>
      <c r="Q264" s="4" t="str">
        <f t="shared" si="159"/>
        <v>96950</v>
      </c>
      <c r="R264" t="str">
        <f t="shared" si="164"/>
        <v>UNITED STATES OF AMERICA</v>
      </c>
      <c r="S264" t="str">
        <f>""</f>
        <v/>
      </c>
      <c r="T264" s="5" t="str">
        <f>"16702356129"</f>
        <v>16702356129</v>
      </c>
      <c r="U264" t="str">
        <f>""</f>
        <v/>
      </c>
      <c r="V264" s="5" t="str">
        <f>""</f>
        <v/>
      </c>
      <c r="W264" t="str">
        <f>"goldencorp216@gmail.com"</f>
        <v>goldencorp216@gmail.com</v>
      </c>
      <c r="X264" t="str">
        <f>"GOLDEN CORPORATION"</f>
        <v>GOLDEN CORPORATION</v>
      </c>
      <c r="Y264" t="str">
        <f>"JOSIE'S UNIQUE HAIR"</f>
        <v>JOSIE'S UNIQUE HAIR</v>
      </c>
      <c r="Z264" t="str">
        <f>"SAIPAN"</f>
        <v>SAIPAN</v>
      </c>
      <c r="AA264" t="str">
        <f>""</f>
        <v/>
      </c>
      <c r="AB264" t="str">
        <f>"SAIPAN"</f>
        <v>SAIPAN</v>
      </c>
      <c r="AC264" t="str">
        <f t="shared" si="165"/>
        <v>MP</v>
      </c>
      <c r="AD264" t="str">
        <f t="shared" si="156"/>
        <v>96950</v>
      </c>
      <c r="AE264" t="str">
        <f t="shared" si="166"/>
        <v>UNITED STATES OF AMERICA</v>
      </c>
      <c r="AF264" t="str">
        <f>""</f>
        <v/>
      </c>
      <c r="AG264" s="4" t="str">
        <f>"16702356129"</f>
        <v>16702356129</v>
      </c>
      <c r="AH264" t="str">
        <f>""</f>
        <v/>
      </c>
      <c r="AI264" t="str">
        <f>"56132"</f>
        <v>56132</v>
      </c>
      <c r="AJ264" t="s">
        <v>79</v>
      </c>
      <c r="AK264" t="s">
        <v>79</v>
      </c>
      <c r="AL264" t="s">
        <v>80</v>
      </c>
      <c r="AM264" t="s">
        <v>79</v>
      </c>
      <c r="AP264" t="str">
        <f>"Hairdressers, Hairstylists, and Cosmetologists "</f>
        <v xml:space="preserve">Hairdressers, Hairstylists, and Cosmetologists </v>
      </c>
      <c r="AQ264" t="str">
        <f>"39-5012.00"</f>
        <v>39-5012.00</v>
      </c>
      <c r="AR264" t="str">
        <f>"Hairdressers, Hairstylists, and Cosmetologists"</f>
        <v>Hairdressers, Hairstylists, and Cosmetologists</v>
      </c>
      <c r="AS264" t="str">
        <f>"Secretary"</f>
        <v>Secretary</v>
      </c>
      <c r="AT264" t="s">
        <v>79</v>
      </c>
      <c r="AU264" t="str">
        <f>""</f>
        <v/>
      </c>
      <c r="AV264" t="str">
        <f>""</f>
        <v/>
      </c>
      <c r="AW264" t="s">
        <v>79</v>
      </c>
      <c r="AX264" t="str">
        <f>""</f>
        <v/>
      </c>
      <c r="AY264" t="s">
        <v>84</v>
      </c>
      <c r="BA264" t="s">
        <v>161</v>
      </c>
      <c r="BB264" t="s">
        <v>79</v>
      </c>
      <c r="BD264" t="s">
        <v>79</v>
      </c>
      <c r="BG264" t="s">
        <v>82</v>
      </c>
      <c r="BH264">
        <v>12</v>
      </c>
      <c r="BI264" t="s">
        <v>1009</v>
      </c>
      <c r="BJ264" t="s">
        <v>1010</v>
      </c>
      <c r="BK264" t="str">
        <f>"SAIPAN"</f>
        <v>SAIPAN</v>
      </c>
      <c r="BL264" t="str">
        <f>""</f>
        <v/>
      </c>
      <c r="BM264" t="str">
        <f>"SAIPAN"</f>
        <v>SAIPAN</v>
      </c>
      <c r="BO264" t="s">
        <v>83</v>
      </c>
      <c r="BP264" s="4" t="str">
        <f t="shared" si="157"/>
        <v>96950</v>
      </c>
      <c r="BQ264" t="s">
        <v>79</v>
      </c>
      <c r="BR264" t="str">
        <f>"39-5012.00"</f>
        <v>39-5012.00</v>
      </c>
      <c r="BS264" t="s">
        <v>184</v>
      </c>
      <c r="BT264" s="3">
        <v>7.88</v>
      </c>
      <c r="BU264" t="s">
        <v>80</v>
      </c>
      <c r="BV264" t="s">
        <v>90</v>
      </c>
      <c r="BW264" t="s">
        <v>92</v>
      </c>
      <c r="BZ264" s="1">
        <v>45107</v>
      </c>
    </row>
    <row r="265" spans="1:78" ht="15" customHeight="1" x14ac:dyDescent="0.25">
      <c r="A265" t="s">
        <v>1011</v>
      </c>
      <c r="B265" t="s">
        <v>94</v>
      </c>
      <c r="C265" s="1">
        <v>44849</v>
      </c>
      <c r="D265" s="1">
        <v>44893</v>
      </c>
      <c r="H265" t="s">
        <v>78</v>
      </c>
      <c r="I265" t="str">
        <f>"Ramirez"</f>
        <v>Ramirez</v>
      </c>
      <c r="J265" t="str">
        <f>"Cesar"</f>
        <v>Cesar</v>
      </c>
      <c r="K265" t="str">
        <f>"P."</f>
        <v>P.</v>
      </c>
      <c r="L265" t="str">
        <f>"Secretary"</f>
        <v>Secretary</v>
      </c>
      <c r="M265" t="str">
        <f>"Saipan"</f>
        <v>Saipan</v>
      </c>
      <c r="N265" t="str">
        <f>""</f>
        <v/>
      </c>
      <c r="O265" t="str">
        <f>"Saipan"</f>
        <v>Saipan</v>
      </c>
      <c r="P265" t="str">
        <f t="shared" si="158"/>
        <v>MP</v>
      </c>
      <c r="Q265" s="4" t="str">
        <f t="shared" si="159"/>
        <v>96950</v>
      </c>
      <c r="R265" t="str">
        <f t="shared" si="164"/>
        <v>UNITED STATES OF AMERICA</v>
      </c>
      <c r="S265" t="str">
        <f>""</f>
        <v/>
      </c>
      <c r="T265" s="5" t="str">
        <f>"16702356129"</f>
        <v>16702356129</v>
      </c>
      <c r="U265" t="str">
        <f>""</f>
        <v/>
      </c>
      <c r="V265" s="5" t="str">
        <f>""</f>
        <v/>
      </c>
      <c r="W265" t="str">
        <f>"goldencorp216@gmail.com"</f>
        <v>goldencorp216@gmail.com</v>
      </c>
      <c r="X265" t="str">
        <f>"Golden Corporation"</f>
        <v>Golden Corporation</v>
      </c>
      <c r="Y265" t="str">
        <f>"Manpower Service"</f>
        <v>Manpower Service</v>
      </c>
      <c r="Z265" t="str">
        <f>"Saipan"</f>
        <v>Saipan</v>
      </c>
      <c r="AA265" t="str">
        <f>""</f>
        <v/>
      </c>
      <c r="AB265" t="str">
        <f>"Saipan"</f>
        <v>Saipan</v>
      </c>
      <c r="AC265" t="str">
        <f t="shared" si="165"/>
        <v>MP</v>
      </c>
      <c r="AD265" t="str">
        <f t="shared" si="156"/>
        <v>96950</v>
      </c>
      <c r="AE265" t="str">
        <f t="shared" si="166"/>
        <v>UNITED STATES OF AMERICA</v>
      </c>
      <c r="AF265" t="str">
        <f>""</f>
        <v/>
      </c>
      <c r="AG265" s="4" t="str">
        <f>"16702356129"</f>
        <v>16702356129</v>
      </c>
      <c r="AH265" t="str">
        <f>""</f>
        <v/>
      </c>
      <c r="AI265" t="str">
        <f>"56132"</f>
        <v>56132</v>
      </c>
      <c r="AJ265" t="s">
        <v>79</v>
      </c>
      <c r="AK265" t="s">
        <v>79</v>
      </c>
      <c r="AL265" t="s">
        <v>80</v>
      </c>
      <c r="AM265" t="s">
        <v>79</v>
      </c>
      <c r="AP265" t="str">
        <f>"MAIDS AND HOUSEKEEPING CLEANER"</f>
        <v>MAIDS AND HOUSEKEEPING CLEANER</v>
      </c>
      <c r="AQ265" t="str">
        <f>"37-2012.00"</f>
        <v>37-2012.00</v>
      </c>
      <c r="AR265" t="str">
        <f>"Maids and Housekeeping Cleaners"</f>
        <v>Maids and Housekeeping Cleaners</v>
      </c>
      <c r="AS265" t="str">
        <f>"Secretary"</f>
        <v>Secretary</v>
      </c>
      <c r="AT265" t="s">
        <v>79</v>
      </c>
      <c r="AU265" t="str">
        <f>""</f>
        <v/>
      </c>
      <c r="AV265" t="str">
        <f>""</f>
        <v/>
      </c>
      <c r="AW265" t="s">
        <v>79</v>
      </c>
      <c r="AX265" t="str">
        <f>""</f>
        <v/>
      </c>
      <c r="AY265" t="s">
        <v>84</v>
      </c>
      <c r="BA265" t="s">
        <v>161</v>
      </c>
      <c r="BB265" t="s">
        <v>79</v>
      </c>
      <c r="BD265" t="s">
        <v>79</v>
      </c>
      <c r="BG265" t="s">
        <v>82</v>
      </c>
      <c r="BH265">
        <v>3</v>
      </c>
      <c r="BI265" t="s">
        <v>1012</v>
      </c>
      <c r="BJ265" t="s">
        <v>543</v>
      </c>
      <c r="BK265" t="str">
        <f>"SAIPAN"</f>
        <v>SAIPAN</v>
      </c>
      <c r="BL265" t="str">
        <f>""</f>
        <v/>
      </c>
      <c r="BM265" t="str">
        <f>"SAIPAN"</f>
        <v>SAIPAN</v>
      </c>
      <c r="BO265" t="s">
        <v>83</v>
      </c>
      <c r="BP265" s="4" t="str">
        <f t="shared" si="157"/>
        <v>96950</v>
      </c>
      <c r="BQ265" t="s">
        <v>79</v>
      </c>
      <c r="BR265" t="str">
        <f>"37-2012.00"</f>
        <v>37-2012.00</v>
      </c>
      <c r="BS265" t="s">
        <v>109</v>
      </c>
      <c r="BT265" s="3">
        <v>7.56</v>
      </c>
      <c r="BU265" t="s">
        <v>80</v>
      </c>
      <c r="BV265" t="s">
        <v>90</v>
      </c>
      <c r="BW265" t="s">
        <v>92</v>
      </c>
      <c r="BZ265" s="1">
        <v>45107</v>
      </c>
    </row>
    <row r="266" spans="1:78" ht="15" customHeight="1" x14ac:dyDescent="0.25">
      <c r="A266" t="s">
        <v>994</v>
      </c>
      <c r="B266" t="s">
        <v>94</v>
      </c>
      <c r="C266" s="1">
        <v>44848</v>
      </c>
      <c r="D266" s="1">
        <v>44893</v>
      </c>
      <c r="H266" t="s">
        <v>78</v>
      </c>
      <c r="I266" t="str">
        <f>"KING"</f>
        <v>KING</v>
      </c>
      <c r="J266" t="str">
        <f>"LILIA"</f>
        <v>LILIA</v>
      </c>
      <c r="K266" t="str">
        <f>"MAGA"</f>
        <v>MAGA</v>
      </c>
      <c r="L266" t="str">
        <f>"OWNER/PROPRIETOR"</f>
        <v>OWNER/PROPRIETOR</v>
      </c>
      <c r="M266" t="str">
        <f>"TUN SEGUNDO, CHALAN KANOA"</f>
        <v>TUN SEGUNDO, CHALAN KANOA</v>
      </c>
      <c r="N266" t="str">
        <f>"P.O. BOX 501496"</f>
        <v>P.O. BOX 501496</v>
      </c>
      <c r="O266" t="str">
        <f>"SAIPAN"</f>
        <v>SAIPAN</v>
      </c>
      <c r="P266" t="str">
        <f t="shared" si="158"/>
        <v>MP</v>
      </c>
      <c r="Q266" s="4" t="str">
        <f t="shared" si="159"/>
        <v>96950</v>
      </c>
      <c r="R266" t="str">
        <f t="shared" si="164"/>
        <v>UNITED STATES OF AMERICA</v>
      </c>
      <c r="S266" t="str">
        <f>""</f>
        <v/>
      </c>
      <c r="T266" s="5" t="str">
        <f>"16709892747"</f>
        <v>16709892747</v>
      </c>
      <c r="U266" t="str">
        <f>""</f>
        <v/>
      </c>
      <c r="V266" s="5" t="str">
        <f>""</f>
        <v/>
      </c>
      <c r="W266" t="str">
        <f>"CHELUALYNEZ57@YAHOO.COM"</f>
        <v>CHELUALYNEZ57@YAHOO.COM</v>
      </c>
      <c r="X266" t="str">
        <f>"LILIA M. KING"</f>
        <v>LILIA M. KING</v>
      </c>
      <c r="Y266" t="str">
        <f>""</f>
        <v/>
      </c>
      <c r="Z266" t="str">
        <f>"TUN SEGUNDO, CHALAN KANOA"</f>
        <v>TUN SEGUNDO, CHALAN KANOA</v>
      </c>
      <c r="AA266" t="str">
        <f>"P.O. BOX 501496"</f>
        <v>P.O. BOX 501496</v>
      </c>
      <c r="AB266" t="str">
        <f>"SAIPAN"</f>
        <v>SAIPAN</v>
      </c>
      <c r="AC266" t="str">
        <f t="shared" si="165"/>
        <v>MP</v>
      </c>
      <c r="AD266" t="str">
        <f t="shared" si="156"/>
        <v>96950</v>
      </c>
      <c r="AE266" t="str">
        <f t="shared" si="166"/>
        <v>UNITED STATES OF AMERICA</v>
      </c>
      <c r="AF266" t="str">
        <f>""</f>
        <v/>
      </c>
      <c r="AG266" s="4" t="str">
        <f>"16709892747"</f>
        <v>16709892747</v>
      </c>
      <c r="AH266" t="str">
        <f>""</f>
        <v/>
      </c>
      <c r="AI266" t="str">
        <f>"561320"</f>
        <v>561320</v>
      </c>
      <c r="AJ266" t="s">
        <v>79</v>
      </c>
      <c r="AK266" t="s">
        <v>79</v>
      </c>
      <c r="AL266" t="s">
        <v>80</v>
      </c>
      <c r="AM266" t="s">
        <v>79</v>
      </c>
      <c r="AP266" t="str">
        <f>"GENERAL MAINTENANCE WORKER"</f>
        <v>GENERAL MAINTENANCE WORKER</v>
      </c>
      <c r="AQ266" t="str">
        <f>"49-9071.00"</f>
        <v>49-9071.00</v>
      </c>
      <c r="AR266" t="str">
        <f>"Maintenance and Repair Workers, General"</f>
        <v>Maintenance and Repair Workers, General</v>
      </c>
      <c r="AS266" t="str">
        <f>"MANAGER"</f>
        <v>MANAGER</v>
      </c>
      <c r="AT266" t="s">
        <v>79</v>
      </c>
      <c r="AU266" t="str">
        <f>""</f>
        <v/>
      </c>
      <c r="AV266" t="str">
        <f>""</f>
        <v/>
      </c>
      <c r="AW266" t="s">
        <v>79</v>
      </c>
      <c r="AX266" t="str">
        <f>""</f>
        <v/>
      </c>
      <c r="AY266" t="s">
        <v>81</v>
      </c>
      <c r="BA266" t="s">
        <v>80</v>
      </c>
      <c r="BB266" t="s">
        <v>79</v>
      </c>
      <c r="BD266" t="s">
        <v>79</v>
      </c>
      <c r="BG266" t="s">
        <v>82</v>
      </c>
      <c r="BH266">
        <v>24</v>
      </c>
      <c r="BI266" t="s">
        <v>995</v>
      </c>
      <c r="BJ266" s="2" t="s">
        <v>996</v>
      </c>
      <c r="BK266" t="str">
        <f>"TUN SEGUNDO, CHALAN KANOA"</f>
        <v>TUN SEGUNDO, CHALAN KANOA</v>
      </c>
      <c r="BL266" t="str">
        <f>"P.O. BOX 501496"</f>
        <v>P.O. BOX 501496</v>
      </c>
      <c r="BM266" t="str">
        <f>"SAIPAN"</f>
        <v>SAIPAN</v>
      </c>
      <c r="BO266" t="s">
        <v>83</v>
      </c>
      <c r="BP266" s="4" t="str">
        <f t="shared" si="157"/>
        <v>96950</v>
      </c>
      <c r="BQ266" t="s">
        <v>79</v>
      </c>
      <c r="BR266" t="str">
        <f>"49-9071.00"</f>
        <v>49-9071.00</v>
      </c>
      <c r="BS266" t="s">
        <v>146</v>
      </c>
      <c r="BT266" s="3">
        <v>9.19</v>
      </c>
      <c r="BU266" t="s">
        <v>80</v>
      </c>
      <c r="BV266" t="s">
        <v>90</v>
      </c>
      <c r="BW266" t="s">
        <v>92</v>
      </c>
      <c r="BZ266" s="1">
        <v>45107</v>
      </c>
    </row>
    <row r="267" spans="1:78" ht="15" customHeight="1" x14ac:dyDescent="0.25">
      <c r="A267" t="s">
        <v>997</v>
      </c>
      <c r="B267" t="s">
        <v>94</v>
      </c>
      <c r="C267" s="1">
        <v>44848</v>
      </c>
      <c r="D267" s="1">
        <v>44893</v>
      </c>
      <c r="H267" t="s">
        <v>78</v>
      </c>
      <c r="I267" t="str">
        <f>"KING"</f>
        <v>KING</v>
      </c>
      <c r="J267" t="str">
        <f>"LILIA"</f>
        <v>LILIA</v>
      </c>
      <c r="K267" t="str">
        <f>"MAGA"</f>
        <v>MAGA</v>
      </c>
      <c r="L267" t="str">
        <f>"OWNER/PROPRIETOR"</f>
        <v>OWNER/PROPRIETOR</v>
      </c>
      <c r="M267" t="str">
        <f>"TUN SEGUNDO, CHALAN KANOA"</f>
        <v>TUN SEGUNDO, CHALAN KANOA</v>
      </c>
      <c r="N267" t="str">
        <f>"P.O. BOX 501496"</f>
        <v>P.O. BOX 501496</v>
      </c>
      <c r="O267" t="str">
        <f>"SAIPAN"</f>
        <v>SAIPAN</v>
      </c>
      <c r="P267" t="str">
        <f t="shared" si="158"/>
        <v>MP</v>
      </c>
      <c r="Q267" s="4" t="str">
        <f t="shared" si="159"/>
        <v>96950</v>
      </c>
      <c r="R267" t="str">
        <f t="shared" si="164"/>
        <v>UNITED STATES OF AMERICA</v>
      </c>
      <c r="S267" t="str">
        <f>""</f>
        <v/>
      </c>
      <c r="T267" s="5" t="str">
        <f>"16709892747"</f>
        <v>16709892747</v>
      </c>
      <c r="U267" t="str">
        <f>""</f>
        <v/>
      </c>
      <c r="V267" s="5" t="str">
        <f>""</f>
        <v/>
      </c>
      <c r="W267" t="str">
        <f>"CHELUALYNEZ57@YAHOO.COM"</f>
        <v>CHELUALYNEZ57@YAHOO.COM</v>
      </c>
      <c r="X267" t="str">
        <f>"LILIA M. KING"</f>
        <v>LILIA M. KING</v>
      </c>
      <c r="Y267" t="str">
        <f>""</f>
        <v/>
      </c>
      <c r="Z267" t="str">
        <f>"TUN SEGUNDO, CHALAN KANOA"</f>
        <v>TUN SEGUNDO, CHALAN KANOA</v>
      </c>
      <c r="AA267" t="str">
        <f>"P.O. BOX 501496"</f>
        <v>P.O. BOX 501496</v>
      </c>
      <c r="AB267" t="str">
        <f>"SAIPAN"</f>
        <v>SAIPAN</v>
      </c>
      <c r="AC267" t="str">
        <f t="shared" si="165"/>
        <v>MP</v>
      </c>
      <c r="AD267" t="str">
        <f t="shared" si="156"/>
        <v>96950</v>
      </c>
      <c r="AE267" t="str">
        <f t="shared" si="166"/>
        <v>UNITED STATES OF AMERICA</v>
      </c>
      <c r="AF267" t="str">
        <f>""</f>
        <v/>
      </c>
      <c r="AG267" s="4" t="str">
        <f>"16709892747"</f>
        <v>16709892747</v>
      </c>
      <c r="AH267" t="str">
        <f>""</f>
        <v/>
      </c>
      <c r="AI267" t="str">
        <f>"561320"</f>
        <v>561320</v>
      </c>
      <c r="AJ267" t="s">
        <v>79</v>
      </c>
      <c r="AK267" t="s">
        <v>79</v>
      </c>
      <c r="AL267" t="s">
        <v>80</v>
      </c>
      <c r="AM267" t="s">
        <v>79</v>
      </c>
      <c r="AP267" t="str">
        <f>"OPERATIONAL SERVICE WORKER"</f>
        <v>OPERATIONAL SERVICE WORKER</v>
      </c>
      <c r="AQ267" t="str">
        <f>"37-2011.00"</f>
        <v>37-2011.00</v>
      </c>
      <c r="AR267" t="str">
        <f>"Janitors and Cleaners, Except Maids and Housekeeping Cleaners"</f>
        <v>Janitors and Cleaners, Except Maids and Housekeeping Cleaners</v>
      </c>
      <c r="AS267" t="str">
        <f>"MANAGER"</f>
        <v>MANAGER</v>
      </c>
      <c r="AT267" t="s">
        <v>79</v>
      </c>
      <c r="AU267" t="str">
        <f>""</f>
        <v/>
      </c>
      <c r="AV267" t="str">
        <f>""</f>
        <v/>
      </c>
      <c r="AW267" t="s">
        <v>79</v>
      </c>
      <c r="AX267" t="str">
        <f>""</f>
        <v/>
      </c>
      <c r="AY267" t="s">
        <v>81</v>
      </c>
      <c r="BA267" t="s">
        <v>80</v>
      </c>
      <c r="BB267" t="s">
        <v>79</v>
      </c>
      <c r="BD267" t="s">
        <v>79</v>
      </c>
      <c r="BG267" t="s">
        <v>82</v>
      </c>
      <c r="BH267">
        <v>12</v>
      </c>
      <c r="BI267" t="s">
        <v>89</v>
      </c>
      <c r="BJ267" t="s">
        <v>998</v>
      </c>
      <c r="BK267" t="str">
        <f>"TUN SEGUNDO, CHALAN KANOA"</f>
        <v>TUN SEGUNDO, CHALAN KANOA</v>
      </c>
      <c r="BL267" t="str">
        <f>"P.O. BOX 501496"</f>
        <v>P.O. BOX 501496</v>
      </c>
      <c r="BM267" t="str">
        <f>"SAIPAN"</f>
        <v>SAIPAN</v>
      </c>
      <c r="BO267" t="s">
        <v>83</v>
      </c>
      <c r="BP267" s="4" t="str">
        <f t="shared" si="157"/>
        <v>96950</v>
      </c>
      <c r="BQ267" t="s">
        <v>79</v>
      </c>
      <c r="BR267" t="str">
        <f>"37-2011.00"</f>
        <v>37-2011.00</v>
      </c>
      <c r="BS267" t="s">
        <v>313</v>
      </c>
      <c r="BT267" s="3">
        <v>7.99</v>
      </c>
      <c r="BU267" t="s">
        <v>80</v>
      </c>
      <c r="BV267" t="s">
        <v>90</v>
      </c>
      <c r="BW267" t="s">
        <v>92</v>
      </c>
      <c r="BZ267" s="1">
        <v>45107</v>
      </c>
    </row>
    <row r="268" spans="1:78" ht="15" customHeight="1" x14ac:dyDescent="0.25">
      <c r="A268" t="s">
        <v>999</v>
      </c>
      <c r="B268" t="s">
        <v>94</v>
      </c>
      <c r="C268" s="1">
        <v>44848</v>
      </c>
      <c r="D268" s="1">
        <v>44893</v>
      </c>
      <c r="H268" t="s">
        <v>78</v>
      </c>
      <c r="I268" t="str">
        <f>"MACARIO"</f>
        <v>MACARIO</v>
      </c>
      <c r="J268" t="str">
        <f>"EDGARDO"</f>
        <v>EDGARDO</v>
      </c>
      <c r="K268" t="str">
        <f>"SALAZAR"</f>
        <v>SALAZAR</v>
      </c>
      <c r="L268" t="str">
        <f>"GENERAL MANAGER"</f>
        <v>GENERAL MANAGER</v>
      </c>
      <c r="M268" t="str">
        <f>"G/F HSJ BUILDING HAGOI ROAD"</f>
        <v>G/F HSJ BUILDING HAGOI ROAD</v>
      </c>
      <c r="N268" t="str">
        <f>"TALAYA AVENUE SUSUPE"</f>
        <v>TALAYA AVENUE SUSUPE</v>
      </c>
      <c r="O268" t="str">
        <f>"SAIPAN"</f>
        <v>SAIPAN</v>
      </c>
      <c r="P268" t="str">
        <f t="shared" si="158"/>
        <v>MP</v>
      </c>
      <c r="Q268" s="4" t="str">
        <f t="shared" si="159"/>
        <v>96950</v>
      </c>
      <c r="R268" t="str">
        <f t="shared" si="164"/>
        <v>UNITED STATES OF AMERICA</v>
      </c>
      <c r="S268" t="str">
        <f>""</f>
        <v/>
      </c>
      <c r="T268" s="5" t="str">
        <f>"16702355379"</f>
        <v>16702355379</v>
      </c>
      <c r="U268" t="str">
        <f>""</f>
        <v/>
      </c>
      <c r="V268" s="5" t="str">
        <f>""</f>
        <v/>
      </c>
      <c r="W268" t="str">
        <f>"admin@shirleyscoffeeshopsaipan.com"</f>
        <v>admin@shirleyscoffeeshopsaipan.com</v>
      </c>
      <c r="X268" t="str">
        <f>"DYNAMIC CORE GROUP INC"</f>
        <v>DYNAMIC CORE GROUP INC</v>
      </c>
      <c r="Y268" t="str">
        <f>"SHIRLEY'S COFFEE SHOP"</f>
        <v>SHIRLEY'S COFFEE SHOP</v>
      </c>
      <c r="Z268" t="str">
        <f>"G/F HSJ BUILDING HAGOI ROAD"</f>
        <v>G/F HSJ BUILDING HAGOI ROAD</v>
      </c>
      <c r="AA268" t="str">
        <f>"TALAYA AVENUE SUSUPE"</f>
        <v>TALAYA AVENUE SUSUPE</v>
      </c>
      <c r="AB268" t="str">
        <f>"SAIPAN"</f>
        <v>SAIPAN</v>
      </c>
      <c r="AC268" t="str">
        <f t="shared" si="165"/>
        <v>MP</v>
      </c>
      <c r="AD268" t="str">
        <f t="shared" si="156"/>
        <v>96950</v>
      </c>
      <c r="AE268" t="str">
        <f t="shared" si="166"/>
        <v>UNITED STATES OF AMERICA</v>
      </c>
      <c r="AF268" t="str">
        <f>""</f>
        <v/>
      </c>
      <c r="AG268" s="4" t="str">
        <f>"16702355379"</f>
        <v>16702355379</v>
      </c>
      <c r="AH268" t="str">
        <f>""</f>
        <v/>
      </c>
      <c r="AI268" t="str">
        <f>"7225"</f>
        <v>7225</v>
      </c>
      <c r="AJ268" t="s">
        <v>79</v>
      </c>
      <c r="AK268" t="s">
        <v>79</v>
      </c>
      <c r="AL268" t="s">
        <v>80</v>
      </c>
      <c r="AM268" t="s">
        <v>79</v>
      </c>
      <c r="AP268" t="str">
        <f>"BOOKKEEPING , ACCOUNTING AND AUDITING CLERK"</f>
        <v>BOOKKEEPING , ACCOUNTING AND AUDITING CLERK</v>
      </c>
      <c r="AQ268" t="str">
        <f>"43-3031.00"</f>
        <v>43-3031.00</v>
      </c>
      <c r="AR268" t="str">
        <f>"Bookkeeping, Accounting, and Auditing Clerks"</f>
        <v>Bookkeeping, Accounting, and Auditing Clerks</v>
      </c>
      <c r="AS268" t="str">
        <f>"GENERAL MANAGER"</f>
        <v>GENERAL MANAGER</v>
      </c>
      <c r="AT268" t="s">
        <v>79</v>
      </c>
      <c r="AU268" t="str">
        <f>""</f>
        <v/>
      </c>
      <c r="AV268" t="str">
        <f>""</f>
        <v/>
      </c>
      <c r="AW268" t="s">
        <v>79</v>
      </c>
      <c r="AX268" t="str">
        <f>""</f>
        <v/>
      </c>
      <c r="AY268" t="s">
        <v>124</v>
      </c>
      <c r="BA268" t="s">
        <v>1000</v>
      </c>
      <c r="BB268" t="s">
        <v>79</v>
      </c>
      <c r="BD268" t="s">
        <v>79</v>
      </c>
      <c r="BG268" t="s">
        <v>82</v>
      </c>
      <c r="BH268">
        <v>24</v>
      </c>
      <c r="BI268" t="s">
        <v>1001</v>
      </c>
      <c r="BJ268" s="2" t="s">
        <v>1002</v>
      </c>
      <c r="BK268" t="str">
        <f>"G/F HSJ BUILDING HAGOI ROAD"</f>
        <v>G/F HSJ BUILDING HAGOI ROAD</v>
      </c>
      <c r="BL268" t="str">
        <f>"TALAYA AVENUE SUSUPE"</f>
        <v>TALAYA AVENUE SUSUPE</v>
      </c>
      <c r="BM268" t="str">
        <f>"SAIPAN"</f>
        <v>SAIPAN</v>
      </c>
      <c r="BO268" t="s">
        <v>83</v>
      </c>
      <c r="BP268" s="4" t="str">
        <f t="shared" si="157"/>
        <v>96950</v>
      </c>
      <c r="BQ268" t="s">
        <v>79</v>
      </c>
      <c r="BR268" t="str">
        <f>"43-3031.00"</f>
        <v>43-3031.00</v>
      </c>
      <c r="BS268" t="s">
        <v>142</v>
      </c>
      <c r="BT268" s="3">
        <v>11.21</v>
      </c>
      <c r="BU268" t="s">
        <v>80</v>
      </c>
      <c r="BV268" t="s">
        <v>90</v>
      </c>
      <c r="BW268" t="s">
        <v>92</v>
      </c>
      <c r="BZ268" s="1">
        <v>45107</v>
      </c>
    </row>
    <row r="269" spans="1:78" ht="15" customHeight="1" x14ac:dyDescent="0.25">
      <c r="A269" t="s">
        <v>1003</v>
      </c>
      <c r="B269" t="s">
        <v>94</v>
      </c>
      <c r="C269" s="1">
        <v>44848</v>
      </c>
      <c r="D269" s="1">
        <v>44893</v>
      </c>
      <c r="H269" t="s">
        <v>78</v>
      </c>
      <c r="I269" t="str">
        <f>"Rodriguez"</f>
        <v>Rodriguez</v>
      </c>
      <c r="J269" t="str">
        <f>"Pablo"</f>
        <v>Pablo</v>
      </c>
      <c r="K269" t="str">
        <f>""</f>
        <v/>
      </c>
      <c r="L269" t="str">
        <f>"LAW OFFICE OF PABLO RODRIGUEZ,PLLC"</f>
        <v>LAW OFFICE OF PABLO RODRIGUEZ,PLLC</v>
      </c>
      <c r="M269" t="str">
        <f>"11243 Southwest Freeway"</f>
        <v>11243 Southwest Freeway</v>
      </c>
      <c r="N269" t="str">
        <f>""</f>
        <v/>
      </c>
      <c r="O269" t="str">
        <f>"Houston"</f>
        <v>Houston</v>
      </c>
      <c r="P269" t="str">
        <f>"TX"</f>
        <v>TX</v>
      </c>
      <c r="Q269" s="4" t="str">
        <f>"77031"</f>
        <v>77031</v>
      </c>
      <c r="R269" t="str">
        <f t="shared" si="164"/>
        <v>UNITED STATES OF AMERICA</v>
      </c>
      <c r="S269" t="str">
        <f>""</f>
        <v/>
      </c>
      <c r="T269" s="5" t="str">
        <f>"18322582504"</f>
        <v>18322582504</v>
      </c>
      <c r="U269" t="str">
        <f>""</f>
        <v/>
      </c>
      <c r="V269" s="5" t="str">
        <f>""</f>
        <v/>
      </c>
      <c r="W269" t="str">
        <f>"Pablorodriguez_lawfirm@outlook.com"</f>
        <v>Pablorodriguez_lawfirm@outlook.com</v>
      </c>
      <c r="X269" t="str">
        <f>"Tangos Tags Corporation"</f>
        <v>Tangos Tags Corporation</v>
      </c>
      <c r="Y269" t="str">
        <f>"N/A"</f>
        <v>N/A</v>
      </c>
      <c r="Z269" t="str">
        <f>"4565 S Wayside Dr "</f>
        <v xml:space="preserve">4565 S Wayside Dr </v>
      </c>
      <c r="AA269" t="str">
        <f>""</f>
        <v/>
      </c>
      <c r="AB269" t="str">
        <f>"Houston"</f>
        <v>Houston</v>
      </c>
      <c r="AC269" t="str">
        <f>"TX"</f>
        <v>TX</v>
      </c>
      <c r="AD269" t="str">
        <f>"77087"</f>
        <v>77087</v>
      </c>
      <c r="AE269" t="str">
        <f t="shared" si="166"/>
        <v>UNITED STATES OF AMERICA</v>
      </c>
      <c r="AF269" t="str">
        <f>""</f>
        <v/>
      </c>
      <c r="AG269" s="4" t="str">
        <f>"18323503499"</f>
        <v>18323503499</v>
      </c>
      <c r="AH269" t="str">
        <f>""</f>
        <v/>
      </c>
      <c r="AI269" t="str">
        <f>"48849"</f>
        <v>48849</v>
      </c>
      <c r="AJ269" t="s">
        <v>79</v>
      </c>
      <c r="AK269" t="s">
        <v>79</v>
      </c>
      <c r="AL269" t="s">
        <v>80</v>
      </c>
      <c r="AM269" t="s">
        <v>79</v>
      </c>
      <c r="AP269" t="str">
        <f>"Shipping and Receiving Clerk "</f>
        <v xml:space="preserve">Shipping and Receiving Clerk </v>
      </c>
      <c r="AQ269" t="str">
        <f>""</f>
        <v/>
      </c>
      <c r="AR269" t="str">
        <f>""</f>
        <v/>
      </c>
      <c r="AS269" t="str">
        <f>"Manager"</f>
        <v>Manager</v>
      </c>
      <c r="AT269" t="s">
        <v>79</v>
      </c>
      <c r="AU269" t="str">
        <f>""</f>
        <v/>
      </c>
      <c r="AV269" t="str">
        <f>""</f>
        <v/>
      </c>
      <c r="AW269" t="s">
        <v>82</v>
      </c>
      <c r="AX269" t="str">
        <f>"To South America to examine shipments"</f>
        <v>To South America to examine shipments</v>
      </c>
      <c r="AY269" t="s">
        <v>84</v>
      </c>
      <c r="BA269" t="s">
        <v>81</v>
      </c>
      <c r="BB269" t="s">
        <v>79</v>
      </c>
      <c r="BD269" t="s">
        <v>79</v>
      </c>
      <c r="BG269" t="s">
        <v>82</v>
      </c>
      <c r="BH269">
        <v>24</v>
      </c>
      <c r="BI269" t="s">
        <v>278</v>
      </c>
      <c r="BJ269" t="s">
        <v>81</v>
      </c>
      <c r="BK269" t="str">
        <f>"4565 S Wayside Dr  Ste 104"</f>
        <v>4565 S Wayside Dr  Ste 104</v>
      </c>
      <c r="BL269" t="str">
        <f>""</f>
        <v/>
      </c>
      <c r="BM269" t="str">
        <f>"Houston"</f>
        <v>Houston</v>
      </c>
      <c r="BO269" t="s">
        <v>83</v>
      </c>
      <c r="BP269" s="4" t="str">
        <f>"77087"</f>
        <v>77087</v>
      </c>
      <c r="BQ269" t="s">
        <v>79</v>
      </c>
      <c r="BR269" t="str">
        <f>"43-5071.00"</f>
        <v>43-5071.00</v>
      </c>
      <c r="BS269" t="s">
        <v>301</v>
      </c>
      <c r="BT269" s="3">
        <v>11.35</v>
      </c>
      <c r="BU269" t="s">
        <v>80</v>
      </c>
      <c r="BV269" t="s">
        <v>90</v>
      </c>
      <c r="BW269" t="s">
        <v>92</v>
      </c>
      <c r="BZ269" s="1">
        <v>45107</v>
      </c>
    </row>
    <row r="270" spans="1:78" ht="15" customHeight="1" x14ac:dyDescent="0.25">
      <c r="A270" t="s">
        <v>985</v>
      </c>
      <c r="B270" t="s">
        <v>94</v>
      </c>
      <c r="C270" s="1">
        <v>44847</v>
      </c>
      <c r="D270" s="1">
        <v>44893</v>
      </c>
      <c r="H270" t="s">
        <v>78</v>
      </c>
      <c r="I270" t="str">
        <f>"KING"</f>
        <v>KING</v>
      </c>
      <c r="J270" t="str">
        <f>"LILIA"</f>
        <v>LILIA</v>
      </c>
      <c r="K270" t="str">
        <f>"MAGA"</f>
        <v>MAGA</v>
      </c>
      <c r="L270" t="str">
        <f>"OWNER/PROPRIETOR"</f>
        <v>OWNER/PROPRIETOR</v>
      </c>
      <c r="M270" t="str">
        <f>"TUN SEGUNDO, CHALAN KANOA"</f>
        <v>TUN SEGUNDO, CHALAN KANOA</v>
      </c>
      <c r="N270" t="str">
        <f>"P.O. BOX 501496"</f>
        <v>P.O. BOX 501496</v>
      </c>
      <c r="O270" t="str">
        <f>"SAIPAN"</f>
        <v>SAIPAN</v>
      </c>
      <c r="P270" t="str">
        <f t="shared" ref="P270:P292" si="167">"MP"</f>
        <v>MP</v>
      </c>
      <c r="Q270" s="4" t="str">
        <f>"96950"</f>
        <v>96950</v>
      </c>
      <c r="R270" t="str">
        <f t="shared" si="164"/>
        <v>UNITED STATES OF AMERICA</v>
      </c>
      <c r="S270" t="str">
        <f>""</f>
        <v/>
      </c>
      <c r="T270" s="5" t="str">
        <f>"16709892747"</f>
        <v>16709892747</v>
      </c>
      <c r="U270" t="str">
        <f>""</f>
        <v/>
      </c>
      <c r="V270" s="5" t="str">
        <f>""</f>
        <v/>
      </c>
      <c r="W270" t="str">
        <f>"CHELUALYNEZ57@YAHOO.COM"</f>
        <v>CHELUALYNEZ57@YAHOO.COM</v>
      </c>
      <c r="X270" t="str">
        <f>"LILIA M. KING"</f>
        <v>LILIA M. KING</v>
      </c>
      <c r="Y270" t="str">
        <f>""</f>
        <v/>
      </c>
      <c r="Z270" t="str">
        <f>"TUN SEGUNDO, CHALAN KANOA"</f>
        <v>TUN SEGUNDO, CHALAN KANOA</v>
      </c>
      <c r="AA270" t="str">
        <f>"P.O. BOX 501496"</f>
        <v>P.O. BOX 501496</v>
      </c>
      <c r="AB270" t="str">
        <f>"SAIPAN"</f>
        <v>SAIPAN</v>
      </c>
      <c r="AC270" t="str">
        <f t="shared" ref="AC270:AC292" si="168">"MP"</f>
        <v>MP</v>
      </c>
      <c r="AD270" t="str">
        <f>"96950"</f>
        <v>96950</v>
      </c>
      <c r="AE270" t="str">
        <f t="shared" si="166"/>
        <v>UNITED STATES OF AMERICA</v>
      </c>
      <c r="AF270" t="str">
        <f>""</f>
        <v/>
      </c>
      <c r="AG270" s="4" t="str">
        <f>"16709892747"</f>
        <v>16709892747</v>
      </c>
      <c r="AH270" t="str">
        <f>""</f>
        <v/>
      </c>
      <c r="AI270" t="str">
        <f>"23822"</f>
        <v>23822</v>
      </c>
      <c r="AJ270" t="s">
        <v>79</v>
      </c>
      <c r="AK270" t="s">
        <v>79</v>
      </c>
      <c r="AL270" t="s">
        <v>80</v>
      </c>
      <c r="AM270" t="s">
        <v>79</v>
      </c>
      <c r="AP270" t="str">
        <f>"AIR CONDITIONING TECHNICIAN"</f>
        <v>AIR CONDITIONING TECHNICIAN</v>
      </c>
      <c r="AQ270" t="str">
        <f>"49-9021.00"</f>
        <v>49-9021.00</v>
      </c>
      <c r="AR270" t="str">
        <f>"Heating, Air Conditioning, and Refrigeration Mechanics and Installers"</f>
        <v>Heating, Air Conditioning, and Refrigeration Mechanics and Installers</v>
      </c>
      <c r="AS270" t="str">
        <f>"Manager"</f>
        <v>Manager</v>
      </c>
      <c r="AT270" t="s">
        <v>79</v>
      </c>
      <c r="AU270" t="str">
        <f>""</f>
        <v/>
      </c>
      <c r="AV270" t="str">
        <f>""</f>
        <v/>
      </c>
      <c r="AW270" t="s">
        <v>79</v>
      </c>
      <c r="AX270" t="str">
        <f>""</f>
        <v/>
      </c>
      <c r="AY270" t="s">
        <v>81</v>
      </c>
      <c r="BA270" t="s">
        <v>119</v>
      </c>
      <c r="BB270" t="s">
        <v>79</v>
      </c>
      <c r="BD270" t="s">
        <v>79</v>
      </c>
      <c r="BG270" t="s">
        <v>82</v>
      </c>
      <c r="BH270">
        <v>24</v>
      </c>
      <c r="BI270" t="s">
        <v>986</v>
      </c>
      <c r="BJ270" t="s">
        <v>987</v>
      </c>
      <c r="BK270" t="str">
        <f>"PM BUILDING SAN JOSE ST"</f>
        <v>PM BUILDING SAN JOSE ST</v>
      </c>
      <c r="BL270" t="str">
        <f>"SAN JOSE VILLAGE"</f>
        <v>SAN JOSE VILLAGE</v>
      </c>
      <c r="BM270" t="str">
        <f>"TINIAN"</f>
        <v>TINIAN</v>
      </c>
      <c r="BO270" t="s">
        <v>83</v>
      </c>
      <c r="BP270" s="4" t="str">
        <f>"96952"</f>
        <v>96952</v>
      </c>
      <c r="BQ270" t="s">
        <v>79</v>
      </c>
      <c r="BR270" t="str">
        <f>"49-9021.00"</f>
        <v>49-9021.00</v>
      </c>
      <c r="BS270" t="s">
        <v>177</v>
      </c>
      <c r="BT270" s="3">
        <v>9.6999999999999993</v>
      </c>
      <c r="BU270" t="s">
        <v>80</v>
      </c>
      <c r="BV270" t="s">
        <v>90</v>
      </c>
      <c r="BW270" t="s">
        <v>92</v>
      </c>
      <c r="BZ270" s="1">
        <v>45107</v>
      </c>
    </row>
    <row r="271" spans="1:78" ht="15" customHeight="1" x14ac:dyDescent="0.25">
      <c r="A271" t="s">
        <v>988</v>
      </c>
      <c r="B271" t="s">
        <v>94</v>
      </c>
      <c r="C271" s="1">
        <v>44847</v>
      </c>
      <c r="D271" s="1">
        <v>44893</v>
      </c>
      <c r="H271" t="s">
        <v>78</v>
      </c>
      <c r="I271" t="str">
        <f>"KING"</f>
        <v>KING</v>
      </c>
      <c r="J271" t="str">
        <f>"LILIA"</f>
        <v>LILIA</v>
      </c>
      <c r="K271" t="str">
        <f>"MAGA"</f>
        <v>MAGA</v>
      </c>
      <c r="L271" t="str">
        <f>"OWNER/PROPRIETOR"</f>
        <v>OWNER/PROPRIETOR</v>
      </c>
      <c r="M271" t="str">
        <f>"TUN SEGUNDO, CHALAN KANOA"</f>
        <v>TUN SEGUNDO, CHALAN KANOA</v>
      </c>
      <c r="N271" t="str">
        <f>"P.O. BOX 501496"</f>
        <v>P.O. BOX 501496</v>
      </c>
      <c r="O271" t="str">
        <f>"SAIPAN"</f>
        <v>SAIPAN</v>
      </c>
      <c r="P271" t="str">
        <f t="shared" si="167"/>
        <v>MP</v>
      </c>
      <c r="Q271" s="4" t="str">
        <f>"96950"</f>
        <v>96950</v>
      </c>
      <c r="R271" t="str">
        <f t="shared" si="164"/>
        <v>UNITED STATES OF AMERICA</v>
      </c>
      <c r="S271" t="str">
        <f>""</f>
        <v/>
      </c>
      <c r="T271" s="5" t="str">
        <f>"16709892747"</f>
        <v>16709892747</v>
      </c>
      <c r="U271" t="str">
        <f>""</f>
        <v/>
      </c>
      <c r="V271" s="5" t="str">
        <f>""</f>
        <v/>
      </c>
      <c r="W271" t="str">
        <f>"CHELUALYNEZ57@YAHOO.COM"</f>
        <v>CHELUALYNEZ57@YAHOO.COM</v>
      </c>
      <c r="X271" t="str">
        <f>"LILIA M. KING"</f>
        <v>LILIA M. KING</v>
      </c>
      <c r="Y271" t="str">
        <f>""</f>
        <v/>
      </c>
      <c r="Z271" t="str">
        <f>"TUN SEGUNDO, CHALAN KANOA"</f>
        <v>TUN SEGUNDO, CHALAN KANOA</v>
      </c>
      <c r="AA271" t="str">
        <f>"P.O. BOX 501496"</f>
        <v>P.O. BOX 501496</v>
      </c>
      <c r="AB271" t="str">
        <f>"SAIPAN"</f>
        <v>SAIPAN</v>
      </c>
      <c r="AC271" t="str">
        <f t="shared" si="168"/>
        <v>MP</v>
      </c>
      <c r="AD271" t="str">
        <f>"96950"</f>
        <v>96950</v>
      </c>
      <c r="AE271" t="str">
        <f t="shared" si="166"/>
        <v>UNITED STATES OF AMERICA</v>
      </c>
      <c r="AF271" t="str">
        <f>""</f>
        <v/>
      </c>
      <c r="AG271" s="4" t="str">
        <f>"16709892747"</f>
        <v>16709892747</v>
      </c>
      <c r="AH271" t="str">
        <f>""</f>
        <v/>
      </c>
      <c r="AI271" t="str">
        <f>"45439"</f>
        <v>45439</v>
      </c>
      <c r="AJ271" t="s">
        <v>79</v>
      </c>
      <c r="AK271" t="s">
        <v>79</v>
      </c>
      <c r="AL271" t="s">
        <v>80</v>
      </c>
      <c r="AM271" t="s">
        <v>79</v>
      </c>
      <c r="AP271" t="str">
        <f>"ACCOUNTING TECHNICIAN"</f>
        <v>ACCOUNTING TECHNICIAN</v>
      </c>
      <c r="AQ271" t="str">
        <f>"43-3031.00"</f>
        <v>43-3031.00</v>
      </c>
      <c r="AR271" t="str">
        <f>"Bookkeeping, Accounting, and Auditing Clerks"</f>
        <v>Bookkeeping, Accounting, and Auditing Clerks</v>
      </c>
      <c r="AS271" t="str">
        <f>"MANAGER"</f>
        <v>MANAGER</v>
      </c>
      <c r="AT271" t="s">
        <v>79</v>
      </c>
      <c r="AU271" t="str">
        <f>""</f>
        <v/>
      </c>
      <c r="AV271" t="str">
        <f>""</f>
        <v/>
      </c>
      <c r="AW271" t="s">
        <v>79</v>
      </c>
      <c r="AX271" t="str">
        <f>""</f>
        <v/>
      </c>
      <c r="AY271" t="s">
        <v>81</v>
      </c>
      <c r="BA271" t="s">
        <v>80</v>
      </c>
      <c r="BB271" t="s">
        <v>79</v>
      </c>
      <c r="BD271" t="s">
        <v>79</v>
      </c>
      <c r="BG271" t="s">
        <v>82</v>
      </c>
      <c r="BH271">
        <v>24</v>
      </c>
      <c r="BI271" t="s">
        <v>989</v>
      </c>
      <c r="BJ271" s="2" t="s">
        <v>990</v>
      </c>
      <c r="BK271" t="str">
        <f>"TUN SEGUNDO, CHALAN KANOA"</f>
        <v>TUN SEGUNDO, CHALAN KANOA</v>
      </c>
      <c r="BL271" t="str">
        <f>"P.O. BOX 501496"</f>
        <v>P.O. BOX 501496</v>
      </c>
      <c r="BM271" t="str">
        <f>"SAIPAN"</f>
        <v>SAIPAN</v>
      </c>
      <c r="BO271" t="s">
        <v>83</v>
      </c>
      <c r="BP271" s="4" t="str">
        <f>"96950"</f>
        <v>96950</v>
      </c>
      <c r="BQ271" t="s">
        <v>79</v>
      </c>
      <c r="BR271" t="str">
        <f>"43-3031.00"</f>
        <v>43-3031.00</v>
      </c>
      <c r="BS271" t="s">
        <v>142</v>
      </c>
      <c r="BT271" s="3">
        <v>11.21</v>
      </c>
      <c r="BU271" t="s">
        <v>80</v>
      </c>
      <c r="BV271" t="s">
        <v>90</v>
      </c>
      <c r="BW271" t="s">
        <v>92</v>
      </c>
      <c r="BZ271" s="1">
        <v>45107</v>
      </c>
    </row>
    <row r="272" spans="1:78" ht="15" customHeight="1" x14ac:dyDescent="0.25">
      <c r="A272" t="s">
        <v>991</v>
      </c>
      <c r="B272" t="s">
        <v>94</v>
      </c>
      <c r="C272" s="1">
        <v>44847</v>
      </c>
      <c r="D272" s="1">
        <v>44893</v>
      </c>
      <c r="H272" t="s">
        <v>78</v>
      </c>
      <c r="I272" t="str">
        <f>"KING"</f>
        <v>KING</v>
      </c>
      <c r="J272" t="str">
        <f>"LILIA"</f>
        <v>LILIA</v>
      </c>
      <c r="K272" t="str">
        <f>"MAGA"</f>
        <v>MAGA</v>
      </c>
      <c r="L272" t="str">
        <f>"OWNER/PROPRIETOR"</f>
        <v>OWNER/PROPRIETOR</v>
      </c>
      <c r="M272" t="str">
        <f>"TUN SEGUNDO, CHALAN KANOA"</f>
        <v>TUN SEGUNDO, CHALAN KANOA</v>
      </c>
      <c r="N272" t="str">
        <f>"P.O. BOX 501496"</f>
        <v>P.O. BOX 501496</v>
      </c>
      <c r="O272" t="str">
        <f>"SAIPAN"</f>
        <v>SAIPAN</v>
      </c>
      <c r="P272" t="str">
        <f t="shared" si="167"/>
        <v>MP</v>
      </c>
      <c r="Q272" s="4" t="str">
        <f>"96950"</f>
        <v>96950</v>
      </c>
      <c r="R272" t="str">
        <f t="shared" si="164"/>
        <v>UNITED STATES OF AMERICA</v>
      </c>
      <c r="S272" t="str">
        <f>""</f>
        <v/>
      </c>
      <c r="T272" s="5" t="str">
        <f>"16709892747"</f>
        <v>16709892747</v>
      </c>
      <c r="U272" t="str">
        <f>""</f>
        <v/>
      </c>
      <c r="V272" s="5" t="str">
        <f>""</f>
        <v/>
      </c>
      <c r="W272" t="str">
        <f>"CHELUALYNEZ57@YAHOO.COM"</f>
        <v>CHELUALYNEZ57@YAHOO.COM</v>
      </c>
      <c r="X272" t="str">
        <f>"LILIA M. KING"</f>
        <v>LILIA M. KING</v>
      </c>
      <c r="Y272" t="str">
        <f>""</f>
        <v/>
      </c>
      <c r="Z272" t="str">
        <f>"TUN SEGUNDO, CHALAN KANOA"</f>
        <v>TUN SEGUNDO, CHALAN KANOA</v>
      </c>
      <c r="AA272" t="str">
        <f>"P.O. BOX 501496"</f>
        <v>P.O. BOX 501496</v>
      </c>
      <c r="AB272" t="str">
        <f>"SAIPAN"</f>
        <v>SAIPAN</v>
      </c>
      <c r="AC272" t="str">
        <f t="shared" si="168"/>
        <v>MP</v>
      </c>
      <c r="AD272" t="str">
        <f>"96950"</f>
        <v>96950</v>
      </c>
      <c r="AE272" t="str">
        <f t="shared" si="166"/>
        <v>UNITED STATES OF AMERICA</v>
      </c>
      <c r="AF272" t="str">
        <f>""</f>
        <v/>
      </c>
      <c r="AG272" s="4" t="str">
        <f>"16709892747"</f>
        <v>16709892747</v>
      </c>
      <c r="AH272" t="str">
        <f>""</f>
        <v/>
      </c>
      <c r="AI272" t="str">
        <f>"561320"</f>
        <v>561320</v>
      </c>
      <c r="AJ272" t="s">
        <v>79</v>
      </c>
      <c r="AK272" t="s">
        <v>79</v>
      </c>
      <c r="AL272" t="s">
        <v>80</v>
      </c>
      <c r="AM272" t="s">
        <v>79</v>
      </c>
      <c r="AP272" t="str">
        <f>"MASSAGE THERAPIST"</f>
        <v>MASSAGE THERAPIST</v>
      </c>
      <c r="AQ272" t="str">
        <f>"31-9011.00"</f>
        <v>31-9011.00</v>
      </c>
      <c r="AR272" t="str">
        <f>"Massage Therapists"</f>
        <v>Massage Therapists</v>
      </c>
      <c r="AS272" t="str">
        <f>"MANAGER"</f>
        <v>MANAGER</v>
      </c>
      <c r="AT272" t="s">
        <v>79</v>
      </c>
      <c r="AU272" t="str">
        <f>""</f>
        <v/>
      </c>
      <c r="AV272" t="str">
        <f>""</f>
        <v/>
      </c>
      <c r="AW272" t="s">
        <v>79</v>
      </c>
      <c r="AX272" t="str">
        <f>""</f>
        <v/>
      </c>
      <c r="AY272" t="s">
        <v>81</v>
      </c>
      <c r="BA272" t="s">
        <v>80</v>
      </c>
      <c r="BB272" t="s">
        <v>79</v>
      </c>
      <c r="BD272" t="s">
        <v>79</v>
      </c>
      <c r="BG272" t="s">
        <v>82</v>
      </c>
      <c r="BH272">
        <v>24</v>
      </c>
      <c r="BI272" t="s">
        <v>992</v>
      </c>
      <c r="BJ272" t="s">
        <v>993</v>
      </c>
      <c r="BK272" t="str">
        <f>"TUN SEGUNDO, CHALAN KANOA"</f>
        <v>TUN SEGUNDO, CHALAN KANOA</v>
      </c>
      <c r="BL272" t="str">
        <f>"P.O. BOX 501496"</f>
        <v>P.O. BOX 501496</v>
      </c>
      <c r="BM272" t="str">
        <f>"SAIPAN"</f>
        <v>SAIPAN</v>
      </c>
      <c r="BO272" t="s">
        <v>83</v>
      </c>
      <c r="BP272" s="4" t="str">
        <f>"96950"</f>
        <v>96950</v>
      </c>
      <c r="BQ272" t="s">
        <v>79</v>
      </c>
      <c r="BR272" t="str">
        <f>"31-9011.00"</f>
        <v>31-9011.00</v>
      </c>
      <c r="BS272" t="s">
        <v>348</v>
      </c>
      <c r="BT272" s="3">
        <v>11.46</v>
      </c>
      <c r="BU272" t="s">
        <v>80</v>
      </c>
      <c r="BV272" t="s">
        <v>90</v>
      </c>
      <c r="BW272" t="s">
        <v>92</v>
      </c>
      <c r="BZ272" s="1">
        <v>45107</v>
      </c>
    </row>
    <row r="273" spans="1:78" ht="15" customHeight="1" x14ac:dyDescent="0.25">
      <c r="A273" t="s">
        <v>970</v>
      </c>
      <c r="B273" t="s">
        <v>94</v>
      </c>
      <c r="C273" s="1">
        <v>44846</v>
      </c>
      <c r="D273" s="1">
        <v>44893</v>
      </c>
      <c r="H273" t="s">
        <v>78</v>
      </c>
      <c r="I273" t="str">
        <f>"Cheo"</f>
        <v>Cheo</v>
      </c>
      <c r="J273" t="str">
        <f>"Patrick Kim"</f>
        <v>Patrick Kim</v>
      </c>
      <c r="K273" t="str">
        <f>"Leong"</f>
        <v>Leong</v>
      </c>
      <c r="L273" t="str">
        <f>"General Manager"</f>
        <v>General Manager</v>
      </c>
      <c r="M273" t="str">
        <f>"P.O Box 503984"</f>
        <v>P.O Box 503984</v>
      </c>
      <c r="N273" t="str">
        <f>""</f>
        <v/>
      </c>
      <c r="O273" t="str">
        <f>"Saipan"</f>
        <v>Saipan</v>
      </c>
      <c r="P273" t="str">
        <f t="shared" si="167"/>
        <v>MP</v>
      </c>
      <c r="Q273" s="4" t="str">
        <f>"96950"</f>
        <v>96950</v>
      </c>
      <c r="R273" t="str">
        <f t="shared" si="164"/>
        <v>UNITED STATES OF AMERICA</v>
      </c>
      <c r="S273" t="str">
        <f>"N/A"</f>
        <v>N/A</v>
      </c>
      <c r="T273" s="5" t="str">
        <f>"16702336927"</f>
        <v>16702336927</v>
      </c>
      <c r="U273" t="str">
        <f>""</f>
        <v/>
      </c>
      <c r="V273" s="5" t="str">
        <f>""</f>
        <v/>
      </c>
      <c r="W273" t="str">
        <f>"d.serve670@gmail.com"</f>
        <v>d.serve670@gmail.com</v>
      </c>
      <c r="X273" t="str">
        <f>"D-Serve, LLC"</f>
        <v>D-Serve, LLC</v>
      </c>
      <c r="Y273" t="str">
        <f>""</f>
        <v/>
      </c>
      <c r="Z273" t="str">
        <f>"Beach Road San Antonio Village"</f>
        <v>Beach Road San Antonio Village</v>
      </c>
      <c r="AA273" t="str">
        <f>""</f>
        <v/>
      </c>
      <c r="AB273" t="str">
        <f>"Saipan"</f>
        <v>Saipan</v>
      </c>
      <c r="AC273" t="str">
        <f t="shared" si="168"/>
        <v>MP</v>
      </c>
      <c r="AD273" t="str">
        <f>"96950"</f>
        <v>96950</v>
      </c>
      <c r="AE273" t="str">
        <f t="shared" si="166"/>
        <v>UNITED STATES OF AMERICA</v>
      </c>
      <c r="AF273" t="str">
        <f>"N/A"</f>
        <v>N/A</v>
      </c>
      <c r="AG273" s="4" t="str">
        <f>"16702336927"</f>
        <v>16702336927</v>
      </c>
      <c r="AH273" t="str">
        <f>""</f>
        <v/>
      </c>
      <c r="AI273" t="str">
        <f>"81111"</f>
        <v>81111</v>
      </c>
      <c r="AJ273" t="s">
        <v>79</v>
      </c>
      <c r="AK273" t="s">
        <v>79</v>
      </c>
      <c r="AL273" t="s">
        <v>80</v>
      </c>
      <c r="AM273" t="s">
        <v>79</v>
      </c>
      <c r="AP273" t="str">
        <f>" Maintenance Mechanic"</f>
        <v xml:space="preserve"> Maintenance Mechanic</v>
      </c>
      <c r="AQ273" t="str">
        <f>"49-9071.00"</f>
        <v>49-9071.00</v>
      </c>
      <c r="AR273" t="str">
        <f>"Maintenance and Repair Workers, General"</f>
        <v>Maintenance and Repair Workers, General</v>
      </c>
      <c r="AS273" t="str">
        <f>"Maintenance Manager"</f>
        <v>Maintenance Manager</v>
      </c>
      <c r="AT273" t="s">
        <v>79</v>
      </c>
      <c r="AU273" t="str">
        <f>""</f>
        <v/>
      </c>
      <c r="AV273" t="str">
        <f>""</f>
        <v/>
      </c>
      <c r="AW273" t="s">
        <v>79</v>
      </c>
      <c r="AX273" t="str">
        <f>""</f>
        <v/>
      </c>
      <c r="AY273" t="s">
        <v>84</v>
      </c>
      <c r="BA273" t="s">
        <v>80</v>
      </c>
      <c r="BB273" t="s">
        <v>79</v>
      </c>
      <c r="BD273" t="s">
        <v>79</v>
      </c>
      <c r="BG273" t="s">
        <v>82</v>
      </c>
      <c r="BH273">
        <v>24</v>
      </c>
      <c r="BI273" t="s">
        <v>971</v>
      </c>
      <c r="BJ273" s="2" t="s">
        <v>972</v>
      </c>
      <c r="BK273" t="str">
        <f>"Beach Road San Antonio Village"</f>
        <v>Beach Road San Antonio Village</v>
      </c>
      <c r="BL273" t="str">
        <f>""</f>
        <v/>
      </c>
      <c r="BM273" t="str">
        <f>"Saipan"</f>
        <v>Saipan</v>
      </c>
      <c r="BO273" t="s">
        <v>83</v>
      </c>
      <c r="BP273" s="4" t="str">
        <f>"96950"</f>
        <v>96950</v>
      </c>
      <c r="BQ273" t="s">
        <v>79</v>
      </c>
      <c r="BR273" t="str">
        <f>"49-9071.00"</f>
        <v>49-9071.00</v>
      </c>
      <c r="BS273" t="s">
        <v>146</v>
      </c>
      <c r="BT273" s="3">
        <v>9.19</v>
      </c>
      <c r="BU273" t="s">
        <v>80</v>
      </c>
      <c r="BV273" t="s">
        <v>90</v>
      </c>
      <c r="BW273" t="s">
        <v>92</v>
      </c>
      <c r="BZ273" s="1">
        <v>45107</v>
      </c>
    </row>
    <row r="274" spans="1:78" ht="15" customHeight="1" x14ac:dyDescent="0.25">
      <c r="A274" t="s">
        <v>973</v>
      </c>
      <c r="B274" t="s">
        <v>94</v>
      </c>
      <c r="C274" s="1">
        <v>44846</v>
      </c>
      <c r="D274" s="1">
        <v>44893</v>
      </c>
      <c r="H274" t="s">
        <v>78</v>
      </c>
      <c r="I274" t="str">
        <f>"ALUBIA"</f>
        <v>ALUBIA</v>
      </c>
      <c r="J274" t="str">
        <f>"CANDELARIA"</f>
        <v>CANDELARIA</v>
      </c>
      <c r="K274" t="str">
        <f>""</f>
        <v/>
      </c>
      <c r="L274" t="str">
        <f>"Operations Manager"</f>
        <v>Operations Manager</v>
      </c>
      <c r="M274" t="str">
        <f>" P. O Box 1359 Sinapalo"</f>
        <v xml:space="preserve"> P. O Box 1359 Sinapalo</v>
      </c>
      <c r="N274" t="str">
        <f>""</f>
        <v/>
      </c>
      <c r="O274" t="str">
        <f>"Rota"</f>
        <v>Rota</v>
      </c>
      <c r="P274" t="str">
        <f t="shared" si="167"/>
        <v>MP</v>
      </c>
      <c r="Q274" s="4" t="str">
        <f>"96951"</f>
        <v>96951</v>
      </c>
      <c r="R274" t="str">
        <f t="shared" si="164"/>
        <v>UNITED STATES OF AMERICA</v>
      </c>
      <c r="S274" t="str">
        <f>""</f>
        <v/>
      </c>
      <c r="T274" s="5" t="str">
        <f>"16705320065"</f>
        <v>16705320065</v>
      </c>
      <c r="U274" t="str">
        <f>""</f>
        <v/>
      </c>
      <c r="V274" s="5" t="str">
        <f>""</f>
        <v/>
      </c>
      <c r="W274" t="str">
        <f>"AC_IMPORT_EXPORT020617@YAHOO.COM"</f>
        <v>AC_IMPORT_EXPORT020617@YAHOO.COM</v>
      </c>
      <c r="X274" t="str">
        <f>"A &amp; C Import/Export"</f>
        <v>A &amp; C Import/Export</v>
      </c>
      <c r="Y274" t="str">
        <f>"3 BROS. LAUNDRYMAT"</f>
        <v>3 BROS. LAUNDRYMAT</v>
      </c>
      <c r="Z274" t="str">
        <f>"P.O Box 1359 Sinapalo"</f>
        <v>P.O Box 1359 Sinapalo</v>
      </c>
      <c r="AA274" t="str">
        <f>""</f>
        <v/>
      </c>
      <c r="AB274" t="str">
        <f>"Rota"</f>
        <v>Rota</v>
      </c>
      <c r="AC274" t="str">
        <f t="shared" si="168"/>
        <v>MP</v>
      </c>
      <c r="AD274" t="str">
        <f>"96951"</f>
        <v>96951</v>
      </c>
      <c r="AE274" t="str">
        <f t="shared" si="166"/>
        <v>UNITED STATES OF AMERICA</v>
      </c>
      <c r="AF274" t="str">
        <f>""</f>
        <v/>
      </c>
      <c r="AG274" s="4" t="str">
        <f>"16705320065"</f>
        <v>16705320065</v>
      </c>
      <c r="AH274" t="str">
        <f>""</f>
        <v/>
      </c>
      <c r="AI274" t="str">
        <f>"81231"</f>
        <v>81231</v>
      </c>
      <c r="AJ274" t="s">
        <v>79</v>
      </c>
      <c r="AK274" t="s">
        <v>79</v>
      </c>
      <c r="AL274" t="s">
        <v>80</v>
      </c>
      <c r="AM274" t="s">
        <v>79</v>
      </c>
      <c r="AP274" t="str">
        <f>"Maintenance and Repair Workers, General"</f>
        <v>Maintenance and Repair Workers, General</v>
      </c>
      <c r="AQ274" t="str">
        <f>"49-9071.00"</f>
        <v>49-9071.00</v>
      </c>
      <c r="AR274" t="str">
        <f>"Maintenance and Repair Workers, General"</f>
        <v>Maintenance and Repair Workers, General</v>
      </c>
      <c r="AS274" t="str">
        <f>"n/a"</f>
        <v>n/a</v>
      </c>
      <c r="AT274" t="s">
        <v>79</v>
      </c>
      <c r="AU274" t="str">
        <f>""</f>
        <v/>
      </c>
      <c r="AV274" t="str">
        <f>""</f>
        <v/>
      </c>
      <c r="AW274" t="s">
        <v>79</v>
      </c>
      <c r="AX274" t="str">
        <f>""</f>
        <v/>
      </c>
      <c r="AY274" t="s">
        <v>84</v>
      </c>
      <c r="BA274" t="s">
        <v>119</v>
      </c>
      <c r="BB274" t="s">
        <v>79</v>
      </c>
      <c r="BD274" t="s">
        <v>79</v>
      </c>
      <c r="BG274" t="s">
        <v>82</v>
      </c>
      <c r="BH274">
        <v>12</v>
      </c>
      <c r="BI274" t="s">
        <v>974</v>
      </c>
      <c r="BJ274" s="2" t="s">
        <v>975</v>
      </c>
      <c r="BK274" t="str">
        <f>"Sinaplo 1 Village"</f>
        <v>Sinaplo 1 Village</v>
      </c>
      <c r="BL274" t="str">
        <f>""</f>
        <v/>
      </c>
      <c r="BM274" t="str">
        <f>"Rota"</f>
        <v>Rota</v>
      </c>
      <c r="BO274" t="s">
        <v>83</v>
      </c>
      <c r="BP274" s="4" t="str">
        <f>"96951"</f>
        <v>96951</v>
      </c>
      <c r="BQ274" t="s">
        <v>79</v>
      </c>
      <c r="BR274" t="str">
        <f>"49-9071.00"</f>
        <v>49-9071.00</v>
      </c>
      <c r="BS274" t="s">
        <v>146</v>
      </c>
      <c r="BT274" s="3">
        <v>9.19</v>
      </c>
      <c r="BU274" t="s">
        <v>80</v>
      </c>
      <c r="BV274" t="s">
        <v>90</v>
      </c>
      <c r="BW274" t="s">
        <v>92</v>
      </c>
      <c r="BZ274" s="1">
        <v>45107</v>
      </c>
    </row>
    <row r="275" spans="1:78" ht="15" customHeight="1" x14ac:dyDescent="0.25">
      <c r="A275" t="s">
        <v>976</v>
      </c>
      <c r="B275" t="s">
        <v>94</v>
      </c>
      <c r="C275" s="1">
        <v>44846</v>
      </c>
      <c r="D275" s="1">
        <v>44893</v>
      </c>
      <c r="H275" t="s">
        <v>78</v>
      </c>
      <c r="I275" t="str">
        <f>"Alubia"</f>
        <v>Alubia</v>
      </c>
      <c r="J275" t="str">
        <f>"Candelaria"</f>
        <v>Candelaria</v>
      </c>
      <c r="K275" t="str">
        <f>""</f>
        <v/>
      </c>
      <c r="L275" t="str">
        <f>"Operations Manager"</f>
        <v>Operations Manager</v>
      </c>
      <c r="M275" t="str">
        <f>"P.O Box 1359 Sinapalo"</f>
        <v>P.O Box 1359 Sinapalo</v>
      </c>
      <c r="N275" t="str">
        <f>""</f>
        <v/>
      </c>
      <c r="O275" t="str">
        <f>"Rota"</f>
        <v>Rota</v>
      </c>
      <c r="P275" t="str">
        <f t="shared" si="167"/>
        <v>MP</v>
      </c>
      <c r="Q275" s="4" t="str">
        <f>"96951"</f>
        <v>96951</v>
      </c>
      <c r="R275" t="str">
        <f t="shared" si="164"/>
        <v>UNITED STATES OF AMERICA</v>
      </c>
      <c r="S275" t="str">
        <f>""</f>
        <v/>
      </c>
      <c r="T275" s="5" t="str">
        <f>"16705320065"</f>
        <v>16705320065</v>
      </c>
      <c r="U275" t="str">
        <f>""</f>
        <v/>
      </c>
      <c r="V275" s="5" t="str">
        <f>""</f>
        <v/>
      </c>
      <c r="W275" t="str">
        <f>"ac_import_export020617@yahoo.com"</f>
        <v>ac_import_export020617@yahoo.com</v>
      </c>
      <c r="X275" t="str">
        <f>"A&amp;C Import/Export"</f>
        <v>A&amp;C Import/Export</v>
      </c>
      <c r="Y275" t="str">
        <f>""</f>
        <v/>
      </c>
      <c r="Z275" t="str">
        <f>"P. O Box 1359 Sinapalo"</f>
        <v>P. O Box 1359 Sinapalo</v>
      </c>
      <c r="AA275" t="str">
        <f>""</f>
        <v/>
      </c>
      <c r="AB275" t="str">
        <f>"Rota"</f>
        <v>Rota</v>
      </c>
      <c r="AC275" t="str">
        <f t="shared" si="168"/>
        <v>MP</v>
      </c>
      <c r="AD275" t="str">
        <f>"96951"</f>
        <v>96951</v>
      </c>
      <c r="AE275" t="str">
        <f t="shared" si="166"/>
        <v>UNITED STATES OF AMERICA</v>
      </c>
      <c r="AF275" t="str">
        <f>""</f>
        <v/>
      </c>
      <c r="AG275" s="4" t="str">
        <f>"16705320065"</f>
        <v>16705320065</v>
      </c>
      <c r="AH275" t="str">
        <f>""</f>
        <v/>
      </c>
      <c r="AI275" t="str">
        <f>"11199"</f>
        <v>11199</v>
      </c>
      <c r="AJ275" t="s">
        <v>79</v>
      </c>
      <c r="AK275" t="s">
        <v>79</v>
      </c>
      <c r="AL275" t="s">
        <v>80</v>
      </c>
      <c r="AM275" t="s">
        <v>79</v>
      </c>
      <c r="AP275" t="str">
        <f>"Farm Workers"</f>
        <v>Farm Workers</v>
      </c>
      <c r="AQ275" t="str">
        <f>"45-2093.00"</f>
        <v>45-2093.00</v>
      </c>
      <c r="AR275" t="str">
        <f>"Farmworkers, Farm, Ranch, and Aquacultural Animals"</f>
        <v>Farmworkers, Farm, Ranch, and Aquacultural Animals</v>
      </c>
      <c r="AS275" t="str">
        <f>"n/a"</f>
        <v>n/a</v>
      </c>
      <c r="AT275" t="s">
        <v>79</v>
      </c>
      <c r="AU275" t="str">
        <f>""</f>
        <v/>
      </c>
      <c r="AV275" t="str">
        <f>""</f>
        <v/>
      </c>
      <c r="AW275" t="s">
        <v>79</v>
      </c>
      <c r="AX275" t="str">
        <f>""</f>
        <v/>
      </c>
      <c r="AY275" t="s">
        <v>84</v>
      </c>
      <c r="BA275" t="s">
        <v>119</v>
      </c>
      <c r="BB275" t="s">
        <v>79</v>
      </c>
      <c r="BD275" t="s">
        <v>79</v>
      </c>
      <c r="BG275" t="s">
        <v>79</v>
      </c>
      <c r="BJ275" s="2" t="s">
        <v>977</v>
      </c>
      <c r="BK275" t="str">
        <f>"Sinapalo 1 Village"</f>
        <v>Sinapalo 1 Village</v>
      </c>
      <c r="BL275" t="str">
        <f>""</f>
        <v/>
      </c>
      <c r="BM275" t="str">
        <f>"Rota"</f>
        <v>Rota</v>
      </c>
      <c r="BO275" t="s">
        <v>83</v>
      </c>
      <c r="BP275" s="4" t="str">
        <f>"96951"</f>
        <v>96951</v>
      </c>
      <c r="BQ275" t="s">
        <v>79</v>
      </c>
      <c r="BR275" t="str">
        <f>"45-2092.00"</f>
        <v>45-2092.00</v>
      </c>
      <c r="BS275" t="s">
        <v>978</v>
      </c>
      <c r="BT275" s="3">
        <v>10.27</v>
      </c>
      <c r="BU275" t="s">
        <v>80</v>
      </c>
      <c r="BV275" t="s">
        <v>90</v>
      </c>
      <c r="BW275" t="s">
        <v>265</v>
      </c>
      <c r="BZ275" s="1">
        <v>45107</v>
      </c>
    </row>
    <row r="276" spans="1:78" ht="15" customHeight="1" x14ac:dyDescent="0.25">
      <c r="A276" t="s">
        <v>979</v>
      </c>
      <c r="B276" t="s">
        <v>94</v>
      </c>
      <c r="C276" s="1">
        <v>44846</v>
      </c>
      <c r="D276" s="1">
        <v>44893</v>
      </c>
      <c r="H276" t="s">
        <v>78</v>
      </c>
      <c r="I276" t="str">
        <f>"Alubia"</f>
        <v>Alubia</v>
      </c>
      <c r="J276" t="str">
        <f>"Candelaria"</f>
        <v>Candelaria</v>
      </c>
      <c r="K276" t="str">
        <f>""</f>
        <v/>
      </c>
      <c r="L276" t="str">
        <f>"Operations Manager"</f>
        <v>Operations Manager</v>
      </c>
      <c r="M276" t="str">
        <f>"P.O Box 1359"</f>
        <v>P.O Box 1359</v>
      </c>
      <c r="N276" t="str">
        <f>""</f>
        <v/>
      </c>
      <c r="O276" t="str">
        <f>"Rota "</f>
        <v xml:space="preserve">Rota </v>
      </c>
      <c r="P276" t="str">
        <f t="shared" si="167"/>
        <v>MP</v>
      </c>
      <c r="Q276" s="4" t="str">
        <f t="shared" ref="Q276:Q292" si="169">"96950"</f>
        <v>96950</v>
      </c>
      <c r="R276" t="str">
        <f t="shared" si="164"/>
        <v>UNITED STATES OF AMERICA</v>
      </c>
      <c r="S276" t="str">
        <f>""</f>
        <v/>
      </c>
      <c r="T276" s="5" t="str">
        <f>"16705320065"</f>
        <v>16705320065</v>
      </c>
      <c r="U276" t="str">
        <f>""</f>
        <v/>
      </c>
      <c r="V276" s="5" t="str">
        <f>""</f>
        <v/>
      </c>
      <c r="W276" t="str">
        <f>"AC_IMPORT_EXPORT020617@YAHOO.COM"</f>
        <v>AC_IMPORT_EXPORT020617@YAHOO.COM</v>
      </c>
      <c r="X276" t="str">
        <f>"A &amp; C IMPORT/EXPORT"</f>
        <v>A &amp; C IMPORT/EXPORT</v>
      </c>
      <c r="Y276" t="str">
        <f>"3 BROS. LAUNDRYMA"</f>
        <v>3 BROS. LAUNDRYMA</v>
      </c>
      <c r="Z276" t="str">
        <f>"P.O Box 1359"</f>
        <v>P.O Box 1359</v>
      </c>
      <c r="AA276" t="str">
        <f>""</f>
        <v/>
      </c>
      <c r="AB276" t="str">
        <f>"Rota"</f>
        <v>Rota</v>
      </c>
      <c r="AC276" t="str">
        <f t="shared" si="168"/>
        <v>MP</v>
      </c>
      <c r="AD276" t="str">
        <f>"96951"</f>
        <v>96951</v>
      </c>
      <c r="AE276" t="str">
        <f t="shared" si="166"/>
        <v>UNITED STATES OF AMERICA</v>
      </c>
      <c r="AF276" t="str">
        <f>""</f>
        <v/>
      </c>
      <c r="AG276" s="4" t="str">
        <f>"16705320065"</f>
        <v>16705320065</v>
      </c>
      <c r="AH276" t="str">
        <f>""</f>
        <v/>
      </c>
      <c r="AI276" t="str">
        <f>"81231"</f>
        <v>81231</v>
      </c>
      <c r="AJ276" t="s">
        <v>79</v>
      </c>
      <c r="AK276" t="s">
        <v>79</v>
      </c>
      <c r="AL276" t="s">
        <v>80</v>
      </c>
      <c r="AM276" t="s">
        <v>79</v>
      </c>
      <c r="AP276" t="str">
        <f>"Laundry Attendants"</f>
        <v>Laundry Attendants</v>
      </c>
      <c r="AQ276" t="str">
        <f>"51-6011.00"</f>
        <v>51-6011.00</v>
      </c>
      <c r="AR276" t="str">
        <f>"Laundry and Dry-Cleaning Workers"</f>
        <v>Laundry and Dry-Cleaning Workers</v>
      </c>
      <c r="AS276" t="str">
        <f>"n/a"</f>
        <v>n/a</v>
      </c>
      <c r="AT276" t="s">
        <v>79</v>
      </c>
      <c r="AU276" t="str">
        <f>""</f>
        <v/>
      </c>
      <c r="AV276" t="str">
        <f>""</f>
        <v/>
      </c>
      <c r="AW276" t="s">
        <v>79</v>
      </c>
      <c r="AX276" t="str">
        <f>""</f>
        <v/>
      </c>
      <c r="AY276" t="s">
        <v>84</v>
      </c>
      <c r="BA276" t="s">
        <v>119</v>
      </c>
      <c r="BB276" t="s">
        <v>79</v>
      </c>
      <c r="BD276" t="s">
        <v>79</v>
      </c>
      <c r="BG276" t="s">
        <v>79</v>
      </c>
      <c r="BJ276" s="2" t="s">
        <v>980</v>
      </c>
      <c r="BK276" t="str">
        <f>"SINAPALO 1 VILLAGE"</f>
        <v>SINAPALO 1 VILLAGE</v>
      </c>
      <c r="BL276" t="str">
        <f>""</f>
        <v/>
      </c>
      <c r="BM276" t="str">
        <f>"ROTA"</f>
        <v>ROTA</v>
      </c>
      <c r="BO276" t="s">
        <v>83</v>
      </c>
      <c r="BP276" s="4" t="str">
        <f>"96951"</f>
        <v>96951</v>
      </c>
      <c r="BQ276" t="s">
        <v>79</v>
      </c>
      <c r="BR276" t="str">
        <f>"51-6011.00"</f>
        <v>51-6011.00</v>
      </c>
      <c r="BS276" t="s">
        <v>981</v>
      </c>
      <c r="BT276" s="3">
        <v>8.0299999999999994</v>
      </c>
      <c r="BU276" t="s">
        <v>80</v>
      </c>
      <c r="BV276" t="s">
        <v>90</v>
      </c>
      <c r="BW276" t="s">
        <v>92</v>
      </c>
      <c r="BZ276" s="1">
        <v>45107</v>
      </c>
    </row>
    <row r="277" spans="1:78" ht="15" customHeight="1" x14ac:dyDescent="0.25">
      <c r="A277" t="s">
        <v>982</v>
      </c>
      <c r="B277" t="s">
        <v>94</v>
      </c>
      <c r="C277" s="1">
        <v>44846</v>
      </c>
      <c r="D277" s="1">
        <v>44893</v>
      </c>
      <c r="H277" t="s">
        <v>78</v>
      </c>
      <c r="I277" t="str">
        <f>"Kim"</f>
        <v>Kim</v>
      </c>
      <c r="J277" t="str">
        <f>"Kang Hee"</f>
        <v>Kang Hee</v>
      </c>
      <c r="K277" t="str">
        <f>""</f>
        <v/>
      </c>
      <c r="L277" t="str">
        <f>"President"</f>
        <v>President</v>
      </c>
      <c r="M277" t="str">
        <f>"P.O Box 503053 "</f>
        <v xml:space="preserve">P.O Box 503053 </v>
      </c>
      <c r="N277" t="str">
        <f>""</f>
        <v/>
      </c>
      <c r="O277" t="str">
        <f>"Saipan"</f>
        <v>Saipan</v>
      </c>
      <c r="P277" t="str">
        <f t="shared" si="167"/>
        <v>MP</v>
      </c>
      <c r="Q277" s="4" t="str">
        <f t="shared" si="169"/>
        <v>96950</v>
      </c>
      <c r="R277" t="str">
        <f t="shared" si="164"/>
        <v>UNITED STATES OF AMERICA</v>
      </c>
      <c r="S277" t="str">
        <f>""</f>
        <v/>
      </c>
      <c r="T277" s="5" t="str">
        <f>"16702359369"</f>
        <v>16702359369</v>
      </c>
      <c r="U277" t="str">
        <f>""</f>
        <v/>
      </c>
      <c r="V277" s="5" t="str">
        <f>""</f>
        <v/>
      </c>
      <c r="W277" t="str">
        <f>"kangparts@hotmail.com"</f>
        <v>kangparts@hotmail.com</v>
      </c>
      <c r="X277" t="str">
        <f>"KANG CORPORATION"</f>
        <v>KANG CORPORATION</v>
      </c>
      <c r="Y277" t="str">
        <f>""</f>
        <v/>
      </c>
      <c r="Z277" t="str">
        <f>"P.O Box 503053 "</f>
        <v xml:space="preserve">P.O Box 503053 </v>
      </c>
      <c r="AA277" t="str">
        <f>""</f>
        <v/>
      </c>
      <c r="AB277" t="str">
        <f>"Saipan"</f>
        <v>Saipan</v>
      </c>
      <c r="AC277" t="str">
        <f t="shared" si="168"/>
        <v>MP</v>
      </c>
      <c r="AD277" t="str">
        <f t="shared" ref="AD277:AD292" si="170">"96950"</f>
        <v>96950</v>
      </c>
      <c r="AE277" t="str">
        <f t="shared" si="166"/>
        <v>UNITED STATES OF AMERICA</v>
      </c>
      <c r="AF277" t="str">
        <f>""</f>
        <v/>
      </c>
      <c r="AG277" s="4" t="str">
        <f>"16702359369"</f>
        <v>16702359369</v>
      </c>
      <c r="AH277" t="str">
        <f>""</f>
        <v/>
      </c>
      <c r="AI277" t="str">
        <f>"44131"</f>
        <v>44131</v>
      </c>
      <c r="AJ277" t="s">
        <v>79</v>
      </c>
      <c r="AK277" t="s">
        <v>79</v>
      </c>
      <c r="AL277" t="s">
        <v>80</v>
      </c>
      <c r="AM277" t="s">
        <v>79</v>
      </c>
      <c r="AP277" t="str">
        <f>"Operations Manager"</f>
        <v>Operations Manager</v>
      </c>
      <c r="AQ277" t="str">
        <f>"11-1021.00"</f>
        <v>11-1021.00</v>
      </c>
      <c r="AR277" t="str">
        <f>"General and Operations Managers"</f>
        <v>General and Operations Managers</v>
      </c>
      <c r="AS277" t="str">
        <f>"n/a"</f>
        <v>n/a</v>
      </c>
      <c r="AT277" t="s">
        <v>82</v>
      </c>
      <c r="AU277" t="str">
        <f>"7"</f>
        <v>7</v>
      </c>
      <c r="AV277" t="str">
        <f>"Subordinate"</f>
        <v>Subordinate</v>
      </c>
      <c r="AW277" t="s">
        <v>79</v>
      </c>
      <c r="AX277" t="str">
        <f>""</f>
        <v/>
      </c>
      <c r="AY277" t="s">
        <v>95</v>
      </c>
      <c r="BA277" t="s">
        <v>119</v>
      </c>
      <c r="BB277" t="s">
        <v>79</v>
      </c>
      <c r="BD277" t="s">
        <v>79</v>
      </c>
      <c r="BG277" t="s">
        <v>82</v>
      </c>
      <c r="BH277">
        <v>24</v>
      </c>
      <c r="BI277" t="s">
        <v>983</v>
      </c>
      <c r="BJ277" s="2" t="s">
        <v>984</v>
      </c>
      <c r="BK277" t="str">
        <f>"Chalan Lau lau Village"</f>
        <v>Chalan Lau lau Village</v>
      </c>
      <c r="BL277" t="str">
        <f>""</f>
        <v/>
      </c>
      <c r="BM277" t="str">
        <f>"Saipan"</f>
        <v>Saipan</v>
      </c>
      <c r="BO277" t="s">
        <v>83</v>
      </c>
      <c r="BP277" s="4" t="str">
        <f t="shared" ref="BP277:BP292" si="171">"96950"</f>
        <v>96950</v>
      </c>
      <c r="BQ277" t="s">
        <v>79</v>
      </c>
      <c r="BR277" t="str">
        <f>"11-1021.00"</f>
        <v>11-1021.00</v>
      </c>
      <c r="BS277" t="s">
        <v>244</v>
      </c>
      <c r="BT277" s="3">
        <v>20.83</v>
      </c>
      <c r="BU277" t="s">
        <v>80</v>
      </c>
      <c r="BV277" t="s">
        <v>90</v>
      </c>
      <c r="BW277" t="s">
        <v>92</v>
      </c>
      <c r="BZ277" s="1">
        <v>45107</v>
      </c>
    </row>
    <row r="278" spans="1:78" ht="15" customHeight="1" x14ac:dyDescent="0.25">
      <c r="A278" t="s">
        <v>937</v>
      </c>
      <c r="B278" t="s">
        <v>94</v>
      </c>
      <c r="C278" s="1">
        <v>44845</v>
      </c>
      <c r="D278" s="1">
        <v>44893</v>
      </c>
      <c r="H278" t="s">
        <v>78</v>
      </c>
      <c r="I278" t="str">
        <f>"MUSTION"</f>
        <v>MUSTION</v>
      </c>
      <c r="J278" t="str">
        <f>"FENGYING"</f>
        <v>FENGYING</v>
      </c>
      <c r="K278" t="str">
        <f>"MA"</f>
        <v>MA</v>
      </c>
      <c r="L278" t="str">
        <f>"PRESIDENT"</f>
        <v>PRESIDENT</v>
      </c>
      <c r="M278" t="str">
        <f>"PMB 388 BOX 10000"</f>
        <v>PMB 388 BOX 10000</v>
      </c>
      <c r="N278" t="str">
        <f>"N/A"</f>
        <v>N/A</v>
      </c>
      <c r="O278" t="str">
        <f>"SAIPAN"</f>
        <v>SAIPAN</v>
      </c>
      <c r="P278" t="str">
        <f t="shared" si="167"/>
        <v>MP</v>
      </c>
      <c r="Q278" s="4" t="str">
        <f t="shared" si="169"/>
        <v>96950</v>
      </c>
      <c r="R278" t="str">
        <f t="shared" si="164"/>
        <v>UNITED STATES OF AMERICA</v>
      </c>
      <c r="S278" t="str">
        <f>"N/A"</f>
        <v>N/A</v>
      </c>
      <c r="T278" s="5" t="str">
        <f>"16702859535"</f>
        <v>16702859535</v>
      </c>
      <c r="U278" t="str">
        <f>""</f>
        <v/>
      </c>
      <c r="V278" s="5" t="str">
        <f>""</f>
        <v/>
      </c>
      <c r="W278" t="str">
        <f>"mmcorpsaipan0316@gmail.com"</f>
        <v>mmcorpsaipan0316@gmail.com</v>
      </c>
      <c r="X278" t="str">
        <f>"M.M. CORPORATION"</f>
        <v>M.M. CORPORATION</v>
      </c>
      <c r="Y278" t="str">
        <f>"MARY'S BEAUTY SALON II"</f>
        <v>MARY'S BEAUTY SALON II</v>
      </c>
      <c r="Z278" t="str">
        <f>"PMB 388 BOX 10000"</f>
        <v>PMB 388 BOX 10000</v>
      </c>
      <c r="AA278" t="str">
        <f>"N/A"</f>
        <v>N/A</v>
      </c>
      <c r="AB278" t="str">
        <f>"SAIPAN"</f>
        <v>SAIPAN</v>
      </c>
      <c r="AC278" t="str">
        <f t="shared" si="168"/>
        <v>MP</v>
      </c>
      <c r="AD278" t="str">
        <f t="shared" si="170"/>
        <v>96950</v>
      </c>
      <c r="AE278" t="str">
        <f t="shared" si="166"/>
        <v>UNITED STATES OF AMERICA</v>
      </c>
      <c r="AF278" t="str">
        <f>"N/A"</f>
        <v>N/A</v>
      </c>
      <c r="AG278" s="4" t="str">
        <f>"16702859535"</f>
        <v>16702859535</v>
      </c>
      <c r="AH278" t="str">
        <f>""</f>
        <v/>
      </c>
      <c r="AI278" t="str">
        <f>"812112"</f>
        <v>812112</v>
      </c>
      <c r="AJ278" t="s">
        <v>79</v>
      </c>
      <c r="AK278" t="s">
        <v>79</v>
      </c>
      <c r="AL278" t="s">
        <v>80</v>
      </c>
      <c r="AM278" t="s">
        <v>79</v>
      </c>
      <c r="AP278" t="str">
        <f>"HAIRSTYLIST"</f>
        <v>HAIRSTYLIST</v>
      </c>
      <c r="AQ278" t="str">
        <f>"39-5012.00"</f>
        <v>39-5012.00</v>
      </c>
      <c r="AR278" t="str">
        <f>"Hairdressers, Hairstylists, and Cosmetologists"</f>
        <v>Hairdressers, Hairstylists, and Cosmetologists</v>
      </c>
      <c r="AS278" t="str">
        <f>"MANAGER"</f>
        <v>MANAGER</v>
      </c>
      <c r="AT278" t="s">
        <v>82</v>
      </c>
      <c r="AU278" t="str">
        <f>"1"</f>
        <v>1</v>
      </c>
      <c r="AV278" t="str">
        <f>"Subordinate"</f>
        <v>Subordinate</v>
      </c>
      <c r="AW278" t="s">
        <v>79</v>
      </c>
      <c r="AX278" t="str">
        <f>""</f>
        <v/>
      </c>
      <c r="AY278" t="s">
        <v>84</v>
      </c>
      <c r="BA278" t="s">
        <v>80</v>
      </c>
      <c r="BB278" t="s">
        <v>79</v>
      </c>
      <c r="BD278" t="s">
        <v>79</v>
      </c>
      <c r="BG278" t="s">
        <v>82</v>
      </c>
      <c r="BH278">
        <v>12</v>
      </c>
      <c r="BI278" t="s">
        <v>938</v>
      </c>
      <c r="BJ278" t="s">
        <v>939</v>
      </c>
      <c r="BK278" t="str">
        <f>"GARAPAN STREET"</f>
        <v>GARAPAN STREET</v>
      </c>
      <c r="BL278" t="str">
        <f>"GARAPAN VILLAGE"</f>
        <v>GARAPAN VILLAGE</v>
      </c>
      <c r="BM278" t="str">
        <f>"SAIPAN"</f>
        <v>SAIPAN</v>
      </c>
      <c r="BO278" t="s">
        <v>83</v>
      </c>
      <c r="BP278" s="4" t="str">
        <f t="shared" si="171"/>
        <v>96950</v>
      </c>
      <c r="BQ278" t="s">
        <v>79</v>
      </c>
      <c r="BR278" t="str">
        <f>"39-5012.00"</f>
        <v>39-5012.00</v>
      </c>
      <c r="BS278" t="s">
        <v>184</v>
      </c>
      <c r="BT278" s="3">
        <v>7.88</v>
      </c>
      <c r="BU278" t="s">
        <v>80</v>
      </c>
      <c r="BV278" t="s">
        <v>90</v>
      </c>
      <c r="BW278" t="s">
        <v>92</v>
      </c>
      <c r="BZ278" s="1">
        <v>45107</v>
      </c>
    </row>
    <row r="279" spans="1:78" ht="15" customHeight="1" x14ac:dyDescent="0.25">
      <c r="A279" t="s">
        <v>942</v>
      </c>
      <c r="B279" t="s">
        <v>94</v>
      </c>
      <c r="C279" s="1">
        <v>44845</v>
      </c>
      <c r="D279" s="1">
        <v>44893</v>
      </c>
      <c r="H279" t="s">
        <v>78</v>
      </c>
      <c r="I279" t="str">
        <f>"VILLANUEVA"</f>
        <v>VILLANUEVA</v>
      </c>
      <c r="J279" t="str">
        <f>"ARIEL "</f>
        <v xml:space="preserve">ARIEL </v>
      </c>
      <c r="K279" t="str">
        <f>"NALANGAN"</f>
        <v>NALANGAN</v>
      </c>
      <c r="L279" t="str">
        <f>"MANAGER"</f>
        <v>MANAGER</v>
      </c>
      <c r="M279" t="str">
        <f>"UNIT 101 HKP BUILDING, MIDDLE ROAD "</f>
        <v xml:space="preserve">UNIT 101 HKP BUILDING, MIDDLE ROAD </v>
      </c>
      <c r="N279" t="str">
        <f>""</f>
        <v/>
      </c>
      <c r="O279" t="str">
        <f>"SAIPAN"</f>
        <v>SAIPAN</v>
      </c>
      <c r="P279" t="str">
        <f t="shared" si="167"/>
        <v>MP</v>
      </c>
      <c r="Q279" s="4" t="str">
        <f t="shared" si="169"/>
        <v>96950</v>
      </c>
      <c r="R279" t="str">
        <f t="shared" si="164"/>
        <v>UNITED STATES OF AMERICA</v>
      </c>
      <c r="S279" t="str">
        <f>""</f>
        <v/>
      </c>
      <c r="T279" s="5" t="str">
        <f>"16707881495"</f>
        <v>16707881495</v>
      </c>
      <c r="U279" t="str">
        <f>""</f>
        <v/>
      </c>
      <c r="V279" s="5" t="str">
        <f>""</f>
        <v/>
      </c>
      <c r="W279" t="str">
        <f>"r3a_generalservicesllc@yahoo.com"</f>
        <v>r3a_generalservicesllc@yahoo.com</v>
      </c>
      <c r="X279" t="str">
        <f>"R3A GENERAL SERVICES, LLC"</f>
        <v>R3A GENERAL SERVICES, LLC</v>
      </c>
      <c r="Y279" t="str">
        <f>"MARIANAS LED LIGHTS &amp; SOLAR; R3A GENERAL MAINTENANCE SERVICES"</f>
        <v>MARIANAS LED LIGHTS &amp; SOLAR; R3A GENERAL MAINTENANCE SERVICES</v>
      </c>
      <c r="Z279" t="str">
        <f>"PO BOX 7654 SVRB 101"</f>
        <v>PO BOX 7654 SVRB 101</v>
      </c>
      <c r="AA279" t="str">
        <f>"UNIT 101 HKP BUILDING, MIDDLE ROAD"</f>
        <v>UNIT 101 HKP BUILDING, MIDDLE ROAD</v>
      </c>
      <c r="AB279" t="str">
        <f>"SAIPAN"</f>
        <v>SAIPAN</v>
      </c>
      <c r="AC279" t="str">
        <f t="shared" si="168"/>
        <v>MP</v>
      </c>
      <c r="AD279" t="str">
        <f t="shared" si="170"/>
        <v>96950</v>
      </c>
      <c r="AE279" t="str">
        <f t="shared" si="166"/>
        <v>UNITED STATES OF AMERICA</v>
      </c>
      <c r="AF279" t="str">
        <f>""</f>
        <v/>
      </c>
      <c r="AG279" s="4" t="str">
        <f>"16702351495"</f>
        <v>16702351495</v>
      </c>
      <c r="AH279" t="str">
        <f>""</f>
        <v/>
      </c>
      <c r="AI279" t="str">
        <f>"2362"</f>
        <v>2362</v>
      </c>
      <c r="AJ279" t="s">
        <v>79</v>
      </c>
      <c r="AK279" t="s">
        <v>79</v>
      </c>
      <c r="AL279" t="s">
        <v>80</v>
      </c>
      <c r="AM279" t="s">
        <v>79</v>
      </c>
      <c r="AP279" t="str">
        <f>"BOOKKEEPER"</f>
        <v>BOOKKEEPER</v>
      </c>
      <c r="AQ279" t="str">
        <f>"43-3031.00"</f>
        <v>43-3031.00</v>
      </c>
      <c r="AR279" t="str">
        <f>"Bookkeeping, Accounting, and Auditing Clerks"</f>
        <v>Bookkeeping, Accounting, and Auditing Clerks</v>
      </c>
      <c r="AS279" t="str">
        <f>"MANAGER"</f>
        <v>MANAGER</v>
      </c>
      <c r="AT279" t="s">
        <v>79</v>
      </c>
      <c r="AU279" t="str">
        <f>""</f>
        <v/>
      </c>
      <c r="AV279" t="str">
        <f>""</f>
        <v/>
      </c>
      <c r="AW279" t="s">
        <v>79</v>
      </c>
      <c r="AX279" t="str">
        <f>""</f>
        <v/>
      </c>
      <c r="AY279" t="s">
        <v>84</v>
      </c>
      <c r="BA279" t="s">
        <v>80</v>
      </c>
      <c r="BB279" t="s">
        <v>79</v>
      </c>
      <c r="BD279" t="s">
        <v>79</v>
      </c>
      <c r="BG279" t="s">
        <v>82</v>
      </c>
      <c r="BH279">
        <v>24</v>
      </c>
      <c r="BI279" t="s">
        <v>943</v>
      </c>
      <c r="BJ279" s="2" t="s">
        <v>944</v>
      </c>
      <c r="BK279" t="str">
        <f>"UNIT 101 HKP BUILDING, MIDDLE ROAD"</f>
        <v>UNIT 101 HKP BUILDING, MIDDLE ROAD</v>
      </c>
      <c r="BL279" t="str">
        <f>""</f>
        <v/>
      </c>
      <c r="BM279" t="str">
        <f>"saipan"</f>
        <v>saipan</v>
      </c>
      <c r="BO279" t="s">
        <v>83</v>
      </c>
      <c r="BP279" s="4" t="str">
        <f t="shared" si="171"/>
        <v>96950</v>
      </c>
      <c r="BQ279" t="s">
        <v>79</v>
      </c>
      <c r="BR279" t="str">
        <f>"43-3031.00"</f>
        <v>43-3031.00</v>
      </c>
      <c r="BS279" t="s">
        <v>142</v>
      </c>
      <c r="BT279" s="3">
        <v>11.21</v>
      </c>
      <c r="BU279" t="s">
        <v>80</v>
      </c>
      <c r="BV279" t="s">
        <v>90</v>
      </c>
      <c r="BW279" t="s">
        <v>92</v>
      </c>
      <c r="BZ279" s="1">
        <v>45107</v>
      </c>
    </row>
    <row r="280" spans="1:78" ht="15" customHeight="1" x14ac:dyDescent="0.25">
      <c r="A280" t="s">
        <v>945</v>
      </c>
      <c r="B280" t="s">
        <v>94</v>
      </c>
      <c r="C280" s="1">
        <v>44845</v>
      </c>
      <c r="D280" s="1">
        <v>44893</v>
      </c>
      <c r="H280" t="s">
        <v>78</v>
      </c>
      <c r="I280" t="str">
        <f>"VILLANUEVA"</f>
        <v>VILLANUEVA</v>
      </c>
      <c r="J280" t="str">
        <f>"ARIEL"</f>
        <v>ARIEL</v>
      </c>
      <c r="K280" t="str">
        <f>"NALANGAN"</f>
        <v>NALANGAN</v>
      </c>
      <c r="L280" t="str">
        <f>"MANAGER"</f>
        <v>MANAGER</v>
      </c>
      <c r="M280" t="str">
        <f>"UNIT 101 HKP BUILDING, MIDDLE ROAD "</f>
        <v xml:space="preserve">UNIT 101 HKP BUILDING, MIDDLE ROAD </v>
      </c>
      <c r="N280" t="str">
        <f>""</f>
        <v/>
      </c>
      <c r="O280" t="str">
        <f>"SAIPAN"</f>
        <v>SAIPAN</v>
      </c>
      <c r="P280" t="str">
        <f t="shared" si="167"/>
        <v>MP</v>
      </c>
      <c r="Q280" s="4" t="str">
        <f t="shared" si="169"/>
        <v>96950</v>
      </c>
      <c r="R280" t="str">
        <f t="shared" si="164"/>
        <v>UNITED STATES OF AMERICA</v>
      </c>
      <c r="S280" t="str">
        <f>""</f>
        <v/>
      </c>
      <c r="T280" s="5" t="str">
        <f>"16707881495"</f>
        <v>16707881495</v>
      </c>
      <c r="U280" t="str">
        <f>""</f>
        <v/>
      </c>
      <c r="V280" s="5" t="str">
        <f>""</f>
        <v/>
      </c>
      <c r="W280" t="str">
        <f>"r3a_generalservicesllc@yahoo.com"</f>
        <v>r3a_generalservicesllc@yahoo.com</v>
      </c>
      <c r="X280" t="str">
        <f>"R3A GENERAL SERVICES, LLC"</f>
        <v>R3A GENERAL SERVICES, LLC</v>
      </c>
      <c r="Y280" t="str">
        <f>"MARIANAS LED LIGHTS &amp; SOLAR; R3A GENERAL MAINTENANCE SERVICES"</f>
        <v>MARIANAS LED LIGHTS &amp; SOLAR; R3A GENERAL MAINTENANCE SERVICES</v>
      </c>
      <c r="Z280" t="str">
        <f>"PO BOX 7654 SVRB 101"</f>
        <v>PO BOX 7654 SVRB 101</v>
      </c>
      <c r="AA280" t="str">
        <f>"UNIT 101 HKP BUILDING, MIDDLE ROAD "</f>
        <v xml:space="preserve">UNIT 101 HKP BUILDING, MIDDLE ROAD </v>
      </c>
      <c r="AB280" t="str">
        <f>"SAIPAN"</f>
        <v>SAIPAN</v>
      </c>
      <c r="AC280" t="str">
        <f t="shared" si="168"/>
        <v>MP</v>
      </c>
      <c r="AD280" t="str">
        <f t="shared" si="170"/>
        <v>96950</v>
      </c>
      <c r="AE280" t="str">
        <f t="shared" si="166"/>
        <v>UNITED STATES OF AMERICA</v>
      </c>
      <c r="AF280" t="str">
        <f>""</f>
        <v/>
      </c>
      <c r="AG280" s="4" t="str">
        <f>"16702351495"</f>
        <v>16702351495</v>
      </c>
      <c r="AH280" t="str">
        <f>""</f>
        <v/>
      </c>
      <c r="AI280" t="str">
        <f>"236220"</f>
        <v>236220</v>
      </c>
      <c r="AJ280" t="s">
        <v>79</v>
      </c>
      <c r="AK280" t="s">
        <v>79</v>
      </c>
      <c r="AL280" t="s">
        <v>80</v>
      </c>
      <c r="AM280" t="s">
        <v>79</v>
      </c>
      <c r="AP280" t="str">
        <f>"GENERAL MAINTENANCE "</f>
        <v xml:space="preserve">GENERAL MAINTENANCE </v>
      </c>
      <c r="AQ280" t="str">
        <f>"49-9071.00"</f>
        <v>49-9071.00</v>
      </c>
      <c r="AR280" t="str">
        <f>"Maintenance and Repair Workers, General"</f>
        <v>Maintenance and Repair Workers, General</v>
      </c>
      <c r="AS280" t="str">
        <f>"MANAGER"</f>
        <v>MANAGER</v>
      </c>
      <c r="AT280" t="s">
        <v>79</v>
      </c>
      <c r="AU280" t="str">
        <f>""</f>
        <v/>
      </c>
      <c r="AV280" t="str">
        <f>""</f>
        <v/>
      </c>
      <c r="AW280" t="s">
        <v>79</v>
      </c>
      <c r="AX280" t="str">
        <f>""</f>
        <v/>
      </c>
      <c r="AY280" t="s">
        <v>84</v>
      </c>
      <c r="BA280" t="s">
        <v>80</v>
      </c>
      <c r="BB280" t="s">
        <v>79</v>
      </c>
      <c r="BD280" t="s">
        <v>79</v>
      </c>
      <c r="BG280" t="s">
        <v>82</v>
      </c>
      <c r="BH280">
        <v>24</v>
      </c>
      <c r="BI280" t="s">
        <v>946</v>
      </c>
      <c r="BJ280" s="2" t="s">
        <v>947</v>
      </c>
      <c r="BK280" t="str">
        <f>"UNIT 101 HKP BUILDING, MIDDLE ROAD"</f>
        <v>UNIT 101 HKP BUILDING, MIDDLE ROAD</v>
      </c>
      <c r="BL280" t="str">
        <f>""</f>
        <v/>
      </c>
      <c r="BM280" t="str">
        <f>"SAIPAN"</f>
        <v>SAIPAN</v>
      </c>
      <c r="BO280" t="s">
        <v>83</v>
      </c>
      <c r="BP280" s="4" t="str">
        <f t="shared" si="171"/>
        <v>96950</v>
      </c>
      <c r="BQ280" t="s">
        <v>79</v>
      </c>
      <c r="BR280" t="str">
        <f>"49-9071.00"</f>
        <v>49-9071.00</v>
      </c>
      <c r="BS280" t="s">
        <v>146</v>
      </c>
      <c r="BT280" s="3">
        <v>9.19</v>
      </c>
      <c r="BU280" t="s">
        <v>80</v>
      </c>
      <c r="BV280" t="s">
        <v>90</v>
      </c>
      <c r="BW280" t="s">
        <v>92</v>
      </c>
      <c r="BZ280" s="1">
        <v>45107</v>
      </c>
    </row>
    <row r="281" spans="1:78" ht="15" customHeight="1" x14ac:dyDescent="0.25">
      <c r="A281" t="s">
        <v>948</v>
      </c>
      <c r="B281" t="s">
        <v>94</v>
      </c>
      <c r="C281" s="1">
        <v>44845</v>
      </c>
      <c r="D281" s="1">
        <v>44893</v>
      </c>
      <c r="H281" t="s">
        <v>78</v>
      </c>
      <c r="I281" t="str">
        <f>"Cataluna"</f>
        <v>Cataluna</v>
      </c>
      <c r="J281" t="str">
        <f>"Freddie"</f>
        <v>Freddie</v>
      </c>
      <c r="K281" t="str">
        <f>"Zamora"</f>
        <v>Zamora</v>
      </c>
      <c r="L281" t="str">
        <f t="shared" ref="L281:L288" si="172">"President"</f>
        <v>President</v>
      </c>
      <c r="M281" t="str">
        <f>"P.O Box 503984 CK"</f>
        <v>P.O Box 503984 CK</v>
      </c>
      <c r="N281" t="str">
        <f>""</f>
        <v/>
      </c>
      <c r="O281" t="str">
        <f t="shared" ref="O281:O290" si="173">"Saipan"</f>
        <v>Saipan</v>
      </c>
      <c r="P281" t="str">
        <f t="shared" si="167"/>
        <v>MP</v>
      </c>
      <c r="Q281" s="4" t="str">
        <f t="shared" si="169"/>
        <v>96950</v>
      </c>
      <c r="R281" t="str">
        <f t="shared" si="164"/>
        <v>UNITED STATES OF AMERICA</v>
      </c>
      <c r="S281" t="str">
        <f t="shared" ref="S281:S288" si="174">"N/A"</f>
        <v>N/A</v>
      </c>
      <c r="T281" s="5" t="str">
        <f>"16702336927"</f>
        <v>16702336927</v>
      </c>
      <c r="U281" t="str">
        <f>""</f>
        <v/>
      </c>
      <c r="V281" s="5" t="str">
        <f>""</f>
        <v/>
      </c>
      <c r="W281" t="str">
        <f>"cpacificcorp@gmail.com"</f>
        <v>cpacificcorp@gmail.com</v>
      </c>
      <c r="X281" t="str">
        <f>"C PACIFIC CORPORATION"</f>
        <v>C PACIFIC CORPORATION</v>
      </c>
      <c r="Y281" t="str">
        <f>"RELIANCE HELP SUPPLY"</f>
        <v>RELIANCE HELP SUPPLY</v>
      </c>
      <c r="Z281" t="str">
        <f>"Beach Road San Antonio Village"</f>
        <v>Beach Road San Antonio Village</v>
      </c>
      <c r="AA281" t="str">
        <f>""</f>
        <v/>
      </c>
      <c r="AB281" t="str">
        <f>"Saipan"</f>
        <v>Saipan</v>
      </c>
      <c r="AC281" t="str">
        <f t="shared" si="168"/>
        <v>MP</v>
      </c>
      <c r="AD281" t="str">
        <f t="shared" si="170"/>
        <v>96950</v>
      </c>
      <c r="AE281" t="str">
        <f t="shared" si="166"/>
        <v>UNITED STATES OF AMERICA</v>
      </c>
      <c r="AF281" t="str">
        <f t="shared" ref="AF281:AF288" si="175">"N/A"</f>
        <v>N/A</v>
      </c>
      <c r="AG281" s="4" t="str">
        <f>"16702336927"</f>
        <v>16702336927</v>
      </c>
      <c r="AH281" t="str">
        <f>""</f>
        <v/>
      </c>
      <c r="AI281" t="str">
        <f>"561320"</f>
        <v>561320</v>
      </c>
      <c r="AJ281" t="s">
        <v>79</v>
      </c>
      <c r="AK281" t="s">
        <v>79</v>
      </c>
      <c r="AL281" t="s">
        <v>80</v>
      </c>
      <c r="AM281" t="s">
        <v>79</v>
      </c>
      <c r="AP281" t="str">
        <f>"Baker"</f>
        <v>Baker</v>
      </c>
      <c r="AQ281" t="str">
        <f>"51-3011.00"</f>
        <v>51-3011.00</v>
      </c>
      <c r="AR281" t="str">
        <f>"Bakers"</f>
        <v>Bakers</v>
      </c>
      <c r="AS281" t="str">
        <f>"Bakery Manager"</f>
        <v>Bakery Manager</v>
      </c>
      <c r="AT281" t="s">
        <v>79</v>
      </c>
      <c r="AU281" t="str">
        <f>""</f>
        <v/>
      </c>
      <c r="AV281" t="str">
        <f>""</f>
        <v/>
      </c>
      <c r="AW281" t="s">
        <v>79</v>
      </c>
      <c r="AX281" t="str">
        <f>""</f>
        <v/>
      </c>
      <c r="AY281" t="s">
        <v>84</v>
      </c>
      <c r="BA281" t="s">
        <v>80</v>
      </c>
      <c r="BB281" t="s">
        <v>79</v>
      </c>
      <c r="BD281" t="s">
        <v>79</v>
      </c>
      <c r="BG281" t="s">
        <v>82</v>
      </c>
      <c r="BH281">
        <v>12</v>
      </c>
      <c r="BI281" t="s">
        <v>949</v>
      </c>
      <c r="BJ281" t="s">
        <v>950</v>
      </c>
      <c r="BK281" t="str">
        <f>"Beach Road San Antonio Village"</f>
        <v>Beach Road San Antonio Village</v>
      </c>
      <c r="BL281" t="str">
        <f>""</f>
        <v/>
      </c>
      <c r="BM281" t="str">
        <f t="shared" ref="BM281:BM290" si="176">"Saipan"</f>
        <v>Saipan</v>
      </c>
      <c r="BO281" t="s">
        <v>83</v>
      </c>
      <c r="BP281" s="4" t="str">
        <f t="shared" si="171"/>
        <v>96950</v>
      </c>
      <c r="BQ281" t="s">
        <v>79</v>
      </c>
      <c r="BR281" t="str">
        <f>"51-3011.00"</f>
        <v>51-3011.00</v>
      </c>
      <c r="BS281" t="s">
        <v>331</v>
      </c>
      <c r="BT281" s="3">
        <v>8.19</v>
      </c>
      <c r="BU281" t="s">
        <v>80</v>
      </c>
      <c r="BV281" t="s">
        <v>90</v>
      </c>
      <c r="BW281" t="s">
        <v>92</v>
      </c>
      <c r="BZ281" s="1">
        <v>45107</v>
      </c>
    </row>
    <row r="282" spans="1:78" ht="15" customHeight="1" x14ac:dyDescent="0.25">
      <c r="A282" t="s">
        <v>951</v>
      </c>
      <c r="B282" t="s">
        <v>94</v>
      </c>
      <c r="C282" s="1">
        <v>44845</v>
      </c>
      <c r="D282" s="1">
        <v>44893</v>
      </c>
      <c r="H282" t="s">
        <v>78</v>
      </c>
      <c r="I282" t="str">
        <f>"Cataluna"</f>
        <v>Cataluna</v>
      </c>
      <c r="J282" t="str">
        <f>"Freddie"</f>
        <v>Freddie</v>
      </c>
      <c r="K282" t="str">
        <f>"Zamora"</f>
        <v>Zamora</v>
      </c>
      <c r="L282" t="str">
        <f t="shared" si="172"/>
        <v>President</v>
      </c>
      <c r="M282" t="str">
        <f>"P.O Box 503984 Ck"</f>
        <v>P.O Box 503984 Ck</v>
      </c>
      <c r="N282" t="str">
        <f>""</f>
        <v/>
      </c>
      <c r="O282" t="str">
        <f t="shared" si="173"/>
        <v>Saipan</v>
      </c>
      <c r="P282" t="str">
        <f t="shared" si="167"/>
        <v>MP</v>
      </c>
      <c r="Q282" s="4" t="str">
        <f t="shared" si="169"/>
        <v>96950</v>
      </c>
      <c r="R282" t="str">
        <f t="shared" si="164"/>
        <v>UNITED STATES OF AMERICA</v>
      </c>
      <c r="S282" t="str">
        <f t="shared" si="174"/>
        <v>N/A</v>
      </c>
      <c r="T282" s="5" t="str">
        <f>"16702336927"</f>
        <v>16702336927</v>
      </c>
      <c r="U282" t="str">
        <f>""</f>
        <v/>
      </c>
      <c r="V282" s="5" t="str">
        <f>""</f>
        <v/>
      </c>
      <c r="W282" t="str">
        <f>"cpacificcorp@gmail.com"</f>
        <v>cpacificcorp@gmail.com</v>
      </c>
      <c r="X282" t="str">
        <f>"C PACIFIC CORPORATION"</f>
        <v>C PACIFIC CORPORATION</v>
      </c>
      <c r="Y282" t="str">
        <f>"RELIANCE HELP SUPPLY"</f>
        <v>RELIANCE HELP SUPPLY</v>
      </c>
      <c r="Z282" t="str">
        <f>"Beach Road San Antonio CK"</f>
        <v>Beach Road San Antonio CK</v>
      </c>
      <c r="AA282" t="str">
        <f>""</f>
        <v/>
      </c>
      <c r="AB282" t="str">
        <f>"Saipan"</f>
        <v>Saipan</v>
      </c>
      <c r="AC282" t="str">
        <f t="shared" si="168"/>
        <v>MP</v>
      </c>
      <c r="AD282" t="str">
        <f t="shared" si="170"/>
        <v>96950</v>
      </c>
      <c r="AE282" t="str">
        <f t="shared" si="166"/>
        <v>UNITED STATES OF AMERICA</v>
      </c>
      <c r="AF282" t="str">
        <f t="shared" si="175"/>
        <v>N/A</v>
      </c>
      <c r="AG282" s="4" t="str">
        <f>"16702336927"</f>
        <v>16702336927</v>
      </c>
      <c r="AH282" t="str">
        <f>""</f>
        <v/>
      </c>
      <c r="AI282" t="str">
        <f>"561320"</f>
        <v>561320</v>
      </c>
      <c r="AJ282" t="s">
        <v>79</v>
      </c>
      <c r="AK282" t="s">
        <v>79</v>
      </c>
      <c r="AL282" t="s">
        <v>80</v>
      </c>
      <c r="AM282" t="s">
        <v>79</v>
      </c>
      <c r="AP282" t="str">
        <f>"Material Handler"</f>
        <v>Material Handler</v>
      </c>
      <c r="AQ282" t="str">
        <f>"51-9198.00"</f>
        <v>51-9198.00</v>
      </c>
      <c r="AR282" t="str">
        <f>"Helpers--Production Workers"</f>
        <v>Helpers--Production Workers</v>
      </c>
      <c r="AS282" t="str">
        <f>""</f>
        <v/>
      </c>
      <c r="AT282" t="s">
        <v>79</v>
      </c>
      <c r="AU282" t="str">
        <f>""</f>
        <v/>
      </c>
      <c r="AV282" t="str">
        <f>""</f>
        <v/>
      </c>
      <c r="AW282" t="s">
        <v>79</v>
      </c>
      <c r="AX282" t="str">
        <f>""</f>
        <v/>
      </c>
      <c r="AY282" t="s">
        <v>84</v>
      </c>
      <c r="BA282" t="s">
        <v>80</v>
      </c>
      <c r="BB282" t="s">
        <v>79</v>
      </c>
      <c r="BD282" t="s">
        <v>79</v>
      </c>
      <c r="BG282" t="s">
        <v>82</v>
      </c>
      <c r="BH282">
        <v>12</v>
      </c>
      <c r="BI282" t="s">
        <v>952</v>
      </c>
      <c r="BJ282" t="s">
        <v>953</v>
      </c>
      <c r="BK282" t="str">
        <f>"Beach Road San Antonio"</f>
        <v>Beach Road San Antonio</v>
      </c>
      <c r="BL282" t="str">
        <f>""</f>
        <v/>
      </c>
      <c r="BM282" t="str">
        <f t="shared" si="176"/>
        <v>Saipan</v>
      </c>
      <c r="BO282" t="s">
        <v>83</v>
      </c>
      <c r="BP282" s="4" t="str">
        <f t="shared" si="171"/>
        <v>96950</v>
      </c>
      <c r="BQ282" t="s">
        <v>79</v>
      </c>
      <c r="BR282" t="str">
        <f>"51-9198.00"</f>
        <v>51-9198.00</v>
      </c>
      <c r="BS282" t="s">
        <v>954</v>
      </c>
      <c r="BT282" s="3">
        <v>8.1300000000000008</v>
      </c>
      <c r="BU282" t="s">
        <v>80</v>
      </c>
      <c r="BV282" t="s">
        <v>90</v>
      </c>
      <c r="BW282" t="s">
        <v>92</v>
      </c>
      <c r="BZ282" s="1">
        <v>45107</v>
      </c>
    </row>
    <row r="283" spans="1:78" ht="15" customHeight="1" x14ac:dyDescent="0.25">
      <c r="A283" t="s">
        <v>955</v>
      </c>
      <c r="B283" t="s">
        <v>94</v>
      </c>
      <c r="C283" s="1">
        <v>44845</v>
      </c>
      <c r="D283" s="1">
        <v>44893</v>
      </c>
      <c r="H283" t="s">
        <v>78</v>
      </c>
      <c r="I283" t="str">
        <f t="shared" ref="I283:I288" si="177">"Elayda"</f>
        <v>Elayda</v>
      </c>
      <c r="J283" t="str">
        <f t="shared" ref="J283:J288" si="178">"Jennifer"</f>
        <v>Jennifer</v>
      </c>
      <c r="K283" t="str">
        <f t="shared" ref="K283:K288" si="179">"Tayag"</f>
        <v>Tayag</v>
      </c>
      <c r="L283" t="str">
        <f t="shared" si="172"/>
        <v>President</v>
      </c>
      <c r="M283" t="str">
        <f t="shared" ref="M283:M288" si="180">"P.O. Box 10001 PMB 1466"</f>
        <v>P.O. Box 10001 PMB 1466</v>
      </c>
      <c r="N283" t="str">
        <f>""</f>
        <v/>
      </c>
      <c r="O283" t="str">
        <f t="shared" si="173"/>
        <v>Saipan</v>
      </c>
      <c r="P283" t="str">
        <f t="shared" si="167"/>
        <v>MP</v>
      </c>
      <c r="Q283" s="4" t="str">
        <f t="shared" si="169"/>
        <v>96950</v>
      </c>
      <c r="R283" t="str">
        <f t="shared" si="164"/>
        <v>UNITED STATES OF AMERICA</v>
      </c>
      <c r="S283" t="str">
        <f t="shared" si="174"/>
        <v>N/A</v>
      </c>
      <c r="T283" s="5" t="str">
        <f t="shared" ref="T283:T288" si="181">"16707836342"</f>
        <v>16707836342</v>
      </c>
      <c r="U283" t="str">
        <f>""</f>
        <v/>
      </c>
      <c r="V283" s="5" t="str">
        <f>""</f>
        <v/>
      </c>
      <c r="W283" t="str">
        <f t="shared" ref="W283:W288" si="182">"jnlcorporation.spn@gmail.com"</f>
        <v>jnlcorporation.spn@gmail.com</v>
      </c>
      <c r="X283" t="str">
        <f t="shared" ref="X283:X288" si="183">"JNL Corporation"</f>
        <v>JNL Corporation</v>
      </c>
      <c r="Y283" t="str">
        <f>"Marianas Manpower Services"</f>
        <v>Marianas Manpower Services</v>
      </c>
      <c r="Z283" t="str">
        <f>"P.O. Box 10001 PMB 1466"</f>
        <v>P.O. Box 10001 PMB 1466</v>
      </c>
      <c r="AA283" t="str">
        <f>""</f>
        <v/>
      </c>
      <c r="AB283" t="str">
        <f>"Saipan"</f>
        <v>Saipan</v>
      </c>
      <c r="AC283" t="str">
        <f t="shared" si="168"/>
        <v>MP</v>
      </c>
      <c r="AD283" t="str">
        <f t="shared" si="170"/>
        <v>96950</v>
      </c>
      <c r="AE283" t="str">
        <f t="shared" si="166"/>
        <v>UNITED STATES OF AMERICA</v>
      </c>
      <c r="AF283" t="str">
        <f t="shared" si="175"/>
        <v>N/A</v>
      </c>
      <c r="AG283" s="4" t="str">
        <f t="shared" ref="AG283:AG288" si="184">"16707836342"</f>
        <v>16707836342</v>
      </c>
      <c r="AH283" t="str">
        <f>""</f>
        <v/>
      </c>
      <c r="AI283" t="str">
        <f>"56132"</f>
        <v>56132</v>
      </c>
      <c r="AJ283" t="s">
        <v>79</v>
      </c>
      <c r="AK283" t="s">
        <v>79</v>
      </c>
      <c r="AL283" t="s">
        <v>80</v>
      </c>
      <c r="AM283" t="s">
        <v>79</v>
      </c>
      <c r="AP283" t="str">
        <f>"choreographer"</f>
        <v>choreographer</v>
      </c>
      <c r="AQ283" t="str">
        <f>"27-2032.00"</f>
        <v>27-2032.00</v>
      </c>
      <c r="AR283" t="str">
        <f>"Choreographers"</f>
        <v>Choreographers</v>
      </c>
      <c r="AS283" t="str">
        <f t="shared" ref="AS283:AS288" si="185">"President"</f>
        <v>President</v>
      </c>
      <c r="AT283" t="s">
        <v>79</v>
      </c>
      <c r="AU283" t="str">
        <f>""</f>
        <v/>
      </c>
      <c r="AV283" t="str">
        <f>""</f>
        <v/>
      </c>
      <c r="AW283" t="s">
        <v>79</v>
      </c>
      <c r="AX283" t="str">
        <f>""</f>
        <v/>
      </c>
      <c r="AY283" t="s">
        <v>84</v>
      </c>
      <c r="BA283" t="s">
        <v>80</v>
      </c>
      <c r="BB283" t="s">
        <v>79</v>
      </c>
      <c r="BD283" t="s">
        <v>79</v>
      </c>
      <c r="BG283" t="s">
        <v>79</v>
      </c>
      <c r="BJ283" t="s">
        <v>956</v>
      </c>
      <c r="BK283" t="str">
        <f>"Ground Floor Blue Beach House Beach Road Chalan Laulau"</f>
        <v>Ground Floor Blue Beach House Beach Road Chalan Laulau</v>
      </c>
      <c r="BL283" t="str">
        <f>""</f>
        <v/>
      </c>
      <c r="BM283" t="str">
        <f t="shared" si="176"/>
        <v>Saipan</v>
      </c>
      <c r="BO283" t="s">
        <v>83</v>
      </c>
      <c r="BP283" s="4" t="str">
        <f t="shared" si="171"/>
        <v>96950</v>
      </c>
      <c r="BQ283" t="s">
        <v>79</v>
      </c>
      <c r="BR283" t="str">
        <f>"27-2032.00"</f>
        <v>27-2032.00</v>
      </c>
      <c r="BS283" t="s">
        <v>957</v>
      </c>
      <c r="BT283" s="3">
        <v>16.22</v>
      </c>
      <c r="BU283" t="s">
        <v>80</v>
      </c>
      <c r="BV283" t="s">
        <v>90</v>
      </c>
      <c r="BW283" t="s">
        <v>265</v>
      </c>
      <c r="BZ283" s="1">
        <v>45107</v>
      </c>
    </row>
    <row r="284" spans="1:78" ht="15" customHeight="1" x14ac:dyDescent="0.25">
      <c r="A284" t="s">
        <v>958</v>
      </c>
      <c r="B284" t="s">
        <v>94</v>
      </c>
      <c r="C284" s="1">
        <v>44845</v>
      </c>
      <c r="D284" s="1">
        <v>44893</v>
      </c>
      <c r="H284" t="s">
        <v>78</v>
      </c>
      <c r="I284" t="str">
        <f t="shared" si="177"/>
        <v>Elayda</v>
      </c>
      <c r="J284" t="str">
        <f t="shared" si="178"/>
        <v>Jennifer</v>
      </c>
      <c r="K284" t="str">
        <f t="shared" si="179"/>
        <v>Tayag</v>
      </c>
      <c r="L284" t="str">
        <f t="shared" si="172"/>
        <v>President</v>
      </c>
      <c r="M284" t="str">
        <f t="shared" si="180"/>
        <v>P.O. Box 10001 PMB 1466</v>
      </c>
      <c r="N284" t="str">
        <f>""</f>
        <v/>
      </c>
      <c r="O284" t="str">
        <f t="shared" si="173"/>
        <v>Saipan</v>
      </c>
      <c r="P284" t="str">
        <f t="shared" si="167"/>
        <v>MP</v>
      </c>
      <c r="Q284" s="4" t="str">
        <f t="shared" si="169"/>
        <v>96950</v>
      </c>
      <c r="R284" t="str">
        <f t="shared" si="164"/>
        <v>UNITED STATES OF AMERICA</v>
      </c>
      <c r="S284" t="str">
        <f t="shared" si="174"/>
        <v>N/A</v>
      </c>
      <c r="T284" s="5" t="str">
        <f t="shared" si="181"/>
        <v>16707836342</v>
      </c>
      <c r="U284" t="str">
        <f>""</f>
        <v/>
      </c>
      <c r="V284" s="5" t="str">
        <f>""</f>
        <v/>
      </c>
      <c r="W284" t="str">
        <f t="shared" si="182"/>
        <v>jnlcorporation.spn@gmail.com</v>
      </c>
      <c r="X284" t="str">
        <f t="shared" si="183"/>
        <v>JNL Corporation</v>
      </c>
      <c r="Y284" t="str">
        <f>"Sure Cleene Services"</f>
        <v>Sure Cleene Services</v>
      </c>
      <c r="Z284" t="str">
        <f>"P.O. Box 10001 PMB 1466"</f>
        <v>P.O. Box 10001 PMB 1466</v>
      </c>
      <c r="AA284" t="str">
        <f>""</f>
        <v/>
      </c>
      <c r="AB284" t="str">
        <f>"Saipan"</f>
        <v>Saipan</v>
      </c>
      <c r="AC284" t="str">
        <f t="shared" si="168"/>
        <v>MP</v>
      </c>
      <c r="AD284" t="str">
        <f t="shared" si="170"/>
        <v>96950</v>
      </c>
      <c r="AE284" t="str">
        <f t="shared" si="166"/>
        <v>UNITED STATES OF AMERICA</v>
      </c>
      <c r="AF284" t="str">
        <f t="shared" si="175"/>
        <v>N/A</v>
      </c>
      <c r="AG284" s="4" t="str">
        <f t="shared" si="184"/>
        <v>16707836342</v>
      </c>
      <c r="AH284" t="str">
        <f>""</f>
        <v/>
      </c>
      <c r="AI284" t="str">
        <f>"56132"</f>
        <v>56132</v>
      </c>
      <c r="AJ284" t="s">
        <v>79</v>
      </c>
      <c r="AK284" t="s">
        <v>79</v>
      </c>
      <c r="AL284" t="s">
        <v>80</v>
      </c>
      <c r="AM284" t="s">
        <v>79</v>
      </c>
      <c r="AP284" t="str">
        <f>"Janitors and Cleaners"</f>
        <v>Janitors and Cleaners</v>
      </c>
      <c r="AQ284" t="str">
        <f>"37-2011.00"</f>
        <v>37-2011.00</v>
      </c>
      <c r="AR284" t="str">
        <f>"Janitors and Cleaners, Except Maids and Housekeeping Cleaners"</f>
        <v>Janitors and Cleaners, Except Maids and Housekeeping Cleaners</v>
      </c>
      <c r="AS284" t="str">
        <f t="shared" si="185"/>
        <v>President</v>
      </c>
      <c r="AT284" t="s">
        <v>79</v>
      </c>
      <c r="AU284" t="str">
        <f>""</f>
        <v/>
      </c>
      <c r="AV284" t="str">
        <f>""</f>
        <v/>
      </c>
      <c r="AW284" t="s">
        <v>79</v>
      </c>
      <c r="AX284" t="str">
        <f>""</f>
        <v/>
      </c>
      <c r="AY284" t="s">
        <v>84</v>
      </c>
      <c r="BA284" t="s">
        <v>80</v>
      </c>
      <c r="BB284" t="s">
        <v>79</v>
      </c>
      <c r="BD284" t="s">
        <v>79</v>
      </c>
      <c r="BG284" t="s">
        <v>82</v>
      </c>
      <c r="BH284">
        <v>6</v>
      </c>
      <c r="BI284" t="s">
        <v>959</v>
      </c>
      <c r="BJ284" t="s">
        <v>960</v>
      </c>
      <c r="BK284" t="str">
        <f>"Ground Floor Blue Beach House Beach Road Chalan Laulau"</f>
        <v>Ground Floor Blue Beach House Beach Road Chalan Laulau</v>
      </c>
      <c r="BL284" t="str">
        <f>""</f>
        <v/>
      </c>
      <c r="BM284" t="str">
        <f t="shared" si="176"/>
        <v>Saipan</v>
      </c>
      <c r="BO284" t="s">
        <v>83</v>
      </c>
      <c r="BP284" s="4" t="str">
        <f t="shared" si="171"/>
        <v>96950</v>
      </c>
      <c r="BQ284" t="s">
        <v>79</v>
      </c>
      <c r="BR284" t="str">
        <f>"37-2011.00"</f>
        <v>37-2011.00</v>
      </c>
      <c r="BS284" t="s">
        <v>313</v>
      </c>
      <c r="BT284" s="3">
        <v>7.99</v>
      </c>
      <c r="BU284" t="s">
        <v>80</v>
      </c>
      <c r="BV284" t="s">
        <v>90</v>
      </c>
      <c r="BW284" t="s">
        <v>92</v>
      </c>
      <c r="BZ284" s="1">
        <v>45107</v>
      </c>
    </row>
    <row r="285" spans="1:78" ht="15" customHeight="1" x14ac:dyDescent="0.25">
      <c r="A285" t="s">
        <v>961</v>
      </c>
      <c r="B285" t="s">
        <v>94</v>
      </c>
      <c r="C285" s="1">
        <v>44845</v>
      </c>
      <c r="D285" s="1">
        <v>44893</v>
      </c>
      <c r="H285" t="s">
        <v>78</v>
      </c>
      <c r="I285" t="str">
        <f t="shared" si="177"/>
        <v>Elayda</v>
      </c>
      <c r="J285" t="str">
        <f t="shared" si="178"/>
        <v>Jennifer</v>
      </c>
      <c r="K285" t="str">
        <f t="shared" si="179"/>
        <v>Tayag</v>
      </c>
      <c r="L285" t="str">
        <f t="shared" si="172"/>
        <v>President</v>
      </c>
      <c r="M285" t="str">
        <f t="shared" si="180"/>
        <v>P.O. Box 10001 PMB 1466</v>
      </c>
      <c r="N285" t="str">
        <f>""</f>
        <v/>
      </c>
      <c r="O285" t="str">
        <f t="shared" si="173"/>
        <v>Saipan</v>
      </c>
      <c r="P285" t="str">
        <f t="shared" si="167"/>
        <v>MP</v>
      </c>
      <c r="Q285" s="4" t="str">
        <f t="shared" si="169"/>
        <v>96950</v>
      </c>
      <c r="R285" t="str">
        <f t="shared" si="164"/>
        <v>UNITED STATES OF AMERICA</v>
      </c>
      <c r="S285" t="str">
        <f t="shared" si="174"/>
        <v>N/A</v>
      </c>
      <c r="T285" s="5" t="str">
        <f t="shared" si="181"/>
        <v>16707836342</v>
      </c>
      <c r="U285" t="str">
        <f>""</f>
        <v/>
      </c>
      <c r="V285" s="5" t="str">
        <f>""</f>
        <v/>
      </c>
      <c r="W285" t="str">
        <f t="shared" si="182"/>
        <v>jnlcorporation.spn@gmail.com</v>
      </c>
      <c r="X285" t="str">
        <f t="shared" si="183"/>
        <v>JNL Corporation</v>
      </c>
      <c r="Y285" t="str">
        <f>"Savory"</f>
        <v>Savory</v>
      </c>
      <c r="Z285" t="str">
        <f>"P.O. Box 10001 PMB 1466"</f>
        <v>P.O. Box 10001 PMB 1466</v>
      </c>
      <c r="AA285" t="str">
        <f>""</f>
        <v/>
      </c>
      <c r="AB285" t="str">
        <f>"Saipan"</f>
        <v>Saipan</v>
      </c>
      <c r="AC285" t="str">
        <f t="shared" si="168"/>
        <v>MP</v>
      </c>
      <c r="AD285" t="str">
        <f t="shared" si="170"/>
        <v>96950</v>
      </c>
      <c r="AE285" t="str">
        <f t="shared" si="166"/>
        <v>UNITED STATES OF AMERICA</v>
      </c>
      <c r="AF285" t="str">
        <f t="shared" si="175"/>
        <v>N/A</v>
      </c>
      <c r="AG285" s="4" t="str">
        <f t="shared" si="184"/>
        <v>16707836342</v>
      </c>
      <c r="AH285" t="str">
        <f>""</f>
        <v/>
      </c>
      <c r="AI285" t="str">
        <f>"561320"</f>
        <v>561320</v>
      </c>
      <c r="AJ285" t="s">
        <v>79</v>
      </c>
      <c r="AK285" t="s">
        <v>79</v>
      </c>
      <c r="AL285" t="s">
        <v>80</v>
      </c>
      <c r="AM285" t="s">
        <v>79</v>
      </c>
      <c r="AP285" t="str">
        <f>"Dishwasher"</f>
        <v>Dishwasher</v>
      </c>
      <c r="AQ285" t="str">
        <f>"35-9021.00"</f>
        <v>35-9021.00</v>
      </c>
      <c r="AR285" t="str">
        <f>"Dishwashers"</f>
        <v>Dishwashers</v>
      </c>
      <c r="AS285" t="str">
        <f t="shared" si="185"/>
        <v>President</v>
      </c>
      <c r="AT285" t="s">
        <v>79</v>
      </c>
      <c r="AU285" t="str">
        <f>""</f>
        <v/>
      </c>
      <c r="AV285" t="str">
        <f>""</f>
        <v/>
      </c>
      <c r="AW285" t="s">
        <v>79</v>
      </c>
      <c r="AX285" t="str">
        <f>""</f>
        <v/>
      </c>
      <c r="AY285" t="s">
        <v>81</v>
      </c>
      <c r="BA285" t="s">
        <v>80</v>
      </c>
      <c r="BB285" t="s">
        <v>79</v>
      </c>
      <c r="BD285" t="s">
        <v>79</v>
      </c>
      <c r="BG285" t="s">
        <v>82</v>
      </c>
      <c r="BH285">
        <v>3</v>
      </c>
      <c r="BI285" t="s">
        <v>962</v>
      </c>
      <c r="BJ285" t="s">
        <v>161</v>
      </c>
      <c r="BK285" t="str">
        <f>"Beach Road Garapan"</f>
        <v>Beach Road Garapan</v>
      </c>
      <c r="BL285" t="str">
        <f>""</f>
        <v/>
      </c>
      <c r="BM285" t="str">
        <f t="shared" si="176"/>
        <v>Saipan</v>
      </c>
      <c r="BO285" t="s">
        <v>83</v>
      </c>
      <c r="BP285" s="4" t="str">
        <f t="shared" si="171"/>
        <v>96950</v>
      </c>
      <c r="BQ285" t="s">
        <v>79</v>
      </c>
      <c r="BR285" t="str">
        <f>"35-9021.00"</f>
        <v>35-9021.00</v>
      </c>
      <c r="BS285" t="s">
        <v>317</v>
      </c>
      <c r="BT285" s="3">
        <v>8.0299999999999994</v>
      </c>
      <c r="BU285" t="s">
        <v>80</v>
      </c>
      <c r="BV285" t="s">
        <v>90</v>
      </c>
      <c r="BW285" t="s">
        <v>92</v>
      </c>
      <c r="BZ285" s="1">
        <v>45107</v>
      </c>
    </row>
    <row r="286" spans="1:78" ht="15" customHeight="1" x14ac:dyDescent="0.25">
      <c r="A286" t="s">
        <v>963</v>
      </c>
      <c r="B286" t="s">
        <v>94</v>
      </c>
      <c r="C286" s="1">
        <v>44845</v>
      </c>
      <c r="D286" s="1">
        <v>44893</v>
      </c>
      <c r="H286" t="s">
        <v>78</v>
      </c>
      <c r="I286" t="str">
        <f t="shared" si="177"/>
        <v>Elayda</v>
      </c>
      <c r="J286" t="str">
        <f t="shared" si="178"/>
        <v>Jennifer</v>
      </c>
      <c r="K286" t="str">
        <f t="shared" si="179"/>
        <v>Tayag</v>
      </c>
      <c r="L286" t="str">
        <f t="shared" si="172"/>
        <v>President</v>
      </c>
      <c r="M286" t="str">
        <f t="shared" si="180"/>
        <v>P.O. Box 10001 PMB 1466</v>
      </c>
      <c r="N286" t="str">
        <f>""</f>
        <v/>
      </c>
      <c r="O286" t="str">
        <f t="shared" si="173"/>
        <v>Saipan</v>
      </c>
      <c r="P286" t="str">
        <f t="shared" si="167"/>
        <v>MP</v>
      </c>
      <c r="Q286" s="4" t="str">
        <f t="shared" si="169"/>
        <v>96950</v>
      </c>
      <c r="R286" t="str">
        <f t="shared" si="164"/>
        <v>UNITED STATES OF AMERICA</v>
      </c>
      <c r="S286" t="str">
        <f t="shared" si="174"/>
        <v>N/A</v>
      </c>
      <c r="T286" s="5" t="str">
        <f t="shared" si="181"/>
        <v>16707836342</v>
      </c>
      <c r="U286" t="str">
        <f>""</f>
        <v/>
      </c>
      <c r="V286" s="5" t="str">
        <f>""</f>
        <v/>
      </c>
      <c r="W286" t="str">
        <f t="shared" si="182"/>
        <v>jnlcorporation.spn@gmail.com</v>
      </c>
      <c r="X286" t="str">
        <f t="shared" si="183"/>
        <v>JNL Corporation</v>
      </c>
      <c r="Y286" t="str">
        <f>"Savory"</f>
        <v>Savory</v>
      </c>
      <c r="Z286" t="str">
        <f>"P.O. Box 10001 1466"</f>
        <v>P.O. Box 10001 1466</v>
      </c>
      <c r="AA286" t="str">
        <f>""</f>
        <v/>
      </c>
      <c r="AB286" t="str">
        <f>"saipan"</f>
        <v>saipan</v>
      </c>
      <c r="AC286" t="str">
        <f t="shared" si="168"/>
        <v>MP</v>
      </c>
      <c r="AD286" t="str">
        <f t="shared" si="170"/>
        <v>96950</v>
      </c>
      <c r="AE286" t="str">
        <f t="shared" si="166"/>
        <v>UNITED STATES OF AMERICA</v>
      </c>
      <c r="AF286" t="str">
        <f t="shared" si="175"/>
        <v>N/A</v>
      </c>
      <c r="AG286" s="4" t="str">
        <f t="shared" si="184"/>
        <v>16707836342</v>
      </c>
      <c r="AH286" t="str">
        <f>""</f>
        <v/>
      </c>
      <c r="AI286" t="str">
        <f>"56132"</f>
        <v>56132</v>
      </c>
      <c r="AJ286" t="s">
        <v>79</v>
      </c>
      <c r="AK286" t="s">
        <v>79</v>
      </c>
      <c r="AL286" t="s">
        <v>80</v>
      </c>
      <c r="AM286" t="s">
        <v>79</v>
      </c>
      <c r="AP286" t="str">
        <f>"Cook"</f>
        <v>Cook</v>
      </c>
      <c r="AQ286" t="str">
        <f>"35-2014.00"</f>
        <v>35-2014.00</v>
      </c>
      <c r="AR286" t="str">
        <f>"Cooks, Restaurant"</f>
        <v>Cooks, Restaurant</v>
      </c>
      <c r="AS286" t="str">
        <f t="shared" si="185"/>
        <v>President</v>
      </c>
      <c r="AT286" t="s">
        <v>79</v>
      </c>
      <c r="AU286" t="str">
        <f>""</f>
        <v/>
      </c>
      <c r="AV286" t="str">
        <f>""</f>
        <v/>
      </c>
      <c r="AW286" t="s">
        <v>79</v>
      </c>
      <c r="AX286" t="str">
        <f>""</f>
        <v/>
      </c>
      <c r="AY286" t="s">
        <v>84</v>
      </c>
      <c r="BA286" t="s">
        <v>80</v>
      </c>
      <c r="BB286" t="s">
        <v>79</v>
      </c>
      <c r="BD286" t="s">
        <v>79</v>
      </c>
      <c r="BG286" t="s">
        <v>82</v>
      </c>
      <c r="BH286">
        <v>6</v>
      </c>
      <c r="BI286" t="s">
        <v>319</v>
      </c>
      <c r="BJ286" t="s">
        <v>964</v>
      </c>
      <c r="BK286" t="str">
        <f>"Beach Road Garapan"</f>
        <v>Beach Road Garapan</v>
      </c>
      <c r="BL286" t="str">
        <f>""</f>
        <v/>
      </c>
      <c r="BM286" t="str">
        <f t="shared" si="176"/>
        <v>Saipan</v>
      </c>
      <c r="BO286" t="s">
        <v>83</v>
      </c>
      <c r="BP286" s="4" t="str">
        <f t="shared" si="171"/>
        <v>96950</v>
      </c>
      <c r="BQ286" t="s">
        <v>79</v>
      </c>
      <c r="BR286" t="str">
        <f>"35-2014.00"</f>
        <v>35-2014.00</v>
      </c>
      <c r="BS286" t="s">
        <v>117</v>
      </c>
      <c r="BT286" s="3">
        <v>8.5500000000000007</v>
      </c>
      <c r="BU286" t="s">
        <v>80</v>
      </c>
      <c r="BV286" t="s">
        <v>90</v>
      </c>
      <c r="BW286" t="s">
        <v>92</v>
      </c>
      <c r="BZ286" s="1">
        <v>45107</v>
      </c>
    </row>
    <row r="287" spans="1:78" ht="15" customHeight="1" x14ac:dyDescent="0.25">
      <c r="A287" t="s">
        <v>965</v>
      </c>
      <c r="B287" t="s">
        <v>94</v>
      </c>
      <c r="C287" s="1">
        <v>44845</v>
      </c>
      <c r="D287" s="1">
        <v>44893</v>
      </c>
      <c r="H287" t="s">
        <v>78</v>
      </c>
      <c r="I287" t="str">
        <f t="shared" si="177"/>
        <v>Elayda</v>
      </c>
      <c r="J287" t="str">
        <f t="shared" si="178"/>
        <v>Jennifer</v>
      </c>
      <c r="K287" t="str">
        <f t="shared" si="179"/>
        <v>Tayag</v>
      </c>
      <c r="L287" t="str">
        <f t="shared" si="172"/>
        <v>President</v>
      </c>
      <c r="M287" t="str">
        <f t="shared" si="180"/>
        <v>P.O. Box 10001 PMB 1466</v>
      </c>
      <c r="N287" t="str">
        <f>""</f>
        <v/>
      </c>
      <c r="O287" t="str">
        <f t="shared" si="173"/>
        <v>Saipan</v>
      </c>
      <c r="P287" t="str">
        <f t="shared" si="167"/>
        <v>MP</v>
      </c>
      <c r="Q287" s="4" t="str">
        <f t="shared" si="169"/>
        <v>96950</v>
      </c>
      <c r="R287" t="str">
        <f t="shared" si="164"/>
        <v>UNITED STATES OF AMERICA</v>
      </c>
      <c r="S287" t="str">
        <f t="shared" si="174"/>
        <v>N/A</v>
      </c>
      <c r="T287" s="5" t="str">
        <f t="shared" si="181"/>
        <v>16707836342</v>
      </c>
      <c r="U287" t="str">
        <f>""</f>
        <v/>
      </c>
      <c r="V287" s="5" t="str">
        <f>""</f>
        <v/>
      </c>
      <c r="W287" t="str">
        <f t="shared" si="182"/>
        <v>jnlcorporation.spn@gmail.com</v>
      </c>
      <c r="X287" t="str">
        <f t="shared" si="183"/>
        <v>JNL Corporation</v>
      </c>
      <c r="Y287" t="str">
        <f>"Marianas Manpower"</f>
        <v>Marianas Manpower</v>
      </c>
      <c r="Z287" t="str">
        <f>"P.O. Box 10001 PMB 1466"</f>
        <v>P.O. Box 10001 PMB 1466</v>
      </c>
      <c r="AA287" t="str">
        <f>""</f>
        <v/>
      </c>
      <c r="AB287" t="str">
        <f>"Saipan"</f>
        <v>Saipan</v>
      </c>
      <c r="AC287" t="str">
        <f t="shared" si="168"/>
        <v>MP</v>
      </c>
      <c r="AD287" t="str">
        <f t="shared" si="170"/>
        <v>96950</v>
      </c>
      <c r="AE287" t="str">
        <f t="shared" si="166"/>
        <v>UNITED STATES OF AMERICA</v>
      </c>
      <c r="AF287" t="str">
        <f t="shared" si="175"/>
        <v>N/A</v>
      </c>
      <c r="AG287" s="4" t="str">
        <f t="shared" si="184"/>
        <v>16707836342</v>
      </c>
      <c r="AH287" t="str">
        <f>""</f>
        <v/>
      </c>
      <c r="AI287" t="str">
        <f>"56132"</f>
        <v>56132</v>
      </c>
      <c r="AJ287" t="s">
        <v>79</v>
      </c>
      <c r="AK287" t="s">
        <v>79</v>
      </c>
      <c r="AL287" t="s">
        <v>80</v>
      </c>
      <c r="AM287" t="s">
        <v>79</v>
      </c>
      <c r="AP287" t="str">
        <f>"Maids and Housekeeping Cleaners"</f>
        <v>Maids and Housekeeping Cleaners</v>
      </c>
      <c r="AQ287" t="str">
        <f>"37-2012.00"</f>
        <v>37-2012.00</v>
      </c>
      <c r="AR287" t="str">
        <f>"Maids and Housekeeping Cleaners"</f>
        <v>Maids and Housekeeping Cleaners</v>
      </c>
      <c r="AS287" t="str">
        <f t="shared" si="185"/>
        <v>President</v>
      </c>
      <c r="AT287" t="s">
        <v>79</v>
      </c>
      <c r="AU287" t="str">
        <f>""</f>
        <v/>
      </c>
      <c r="AV287" t="str">
        <f>""</f>
        <v/>
      </c>
      <c r="AW287" t="s">
        <v>79</v>
      </c>
      <c r="AX287" t="str">
        <f>""</f>
        <v/>
      </c>
      <c r="AY287" t="s">
        <v>84</v>
      </c>
      <c r="BA287" t="s">
        <v>80</v>
      </c>
      <c r="BB287" t="s">
        <v>79</v>
      </c>
      <c r="BD287" t="s">
        <v>79</v>
      </c>
      <c r="BG287" t="s">
        <v>82</v>
      </c>
      <c r="BH287">
        <v>6</v>
      </c>
      <c r="BI287" t="s">
        <v>193</v>
      </c>
      <c r="BJ287" t="s">
        <v>966</v>
      </c>
      <c r="BK287" t="str">
        <f>"Ground Floor Blue Beach House Beach Road Chalan Laulau"</f>
        <v>Ground Floor Blue Beach House Beach Road Chalan Laulau</v>
      </c>
      <c r="BL287" t="str">
        <f>""</f>
        <v/>
      </c>
      <c r="BM287" t="str">
        <f t="shared" si="176"/>
        <v>Saipan</v>
      </c>
      <c r="BO287" t="s">
        <v>83</v>
      </c>
      <c r="BP287" s="4" t="str">
        <f t="shared" si="171"/>
        <v>96950</v>
      </c>
      <c r="BQ287" t="s">
        <v>79</v>
      </c>
      <c r="BR287" t="str">
        <f>"37-2012.00"</f>
        <v>37-2012.00</v>
      </c>
      <c r="BS287" t="s">
        <v>109</v>
      </c>
      <c r="BT287" s="3">
        <v>7.56</v>
      </c>
      <c r="BU287" t="s">
        <v>80</v>
      </c>
      <c r="BV287" t="s">
        <v>90</v>
      </c>
      <c r="BW287" t="s">
        <v>92</v>
      </c>
      <c r="BZ287" s="1">
        <v>45107</v>
      </c>
    </row>
    <row r="288" spans="1:78" ht="15" customHeight="1" x14ac:dyDescent="0.25">
      <c r="A288" t="s">
        <v>967</v>
      </c>
      <c r="B288" t="s">
        <v>94</v>
      </c>
      <c r="C288" s="1">
        <v>44845</v>
      </c>
      <c r="D288" s="1">
        <v>44893</v>
      </c>
      <c r="H288" t="s">
        <v>78</v>
      </c>
      <c r="I288" t="str">
        <f t="shared" si="177"/>
        <v>Elayda</v>
      </c>
      <c r="J288" t="str">
        <f t="shared" si="178"/>
        <v>Jennifer</v>
      </c>
      <c r="K288" t="str">
        <f t="shared" si="179"/>
        <v>Tayag</v>
      </c>
      <c r="L288" t="str">
        <f t="shared" si="172"/>
        <v>President</v>
      </c>
      <c r="M288" t="str">
        <f t="shared" si="180"/>
        <v>P.O. Box 10001 PMB 1466</v>
      </c>
      <c r="N288" t="str">
        <f>""</f>
        <v/>
      </c>
      <c r="O288" t="str">
        <f t="shared" si="173"/>
        <v>Saipan</v>
      </c>
      <c r="P288" t="str">
        <f t="shared" si="167"/>
        <v>MP</v>
      </c>
      <c r="Q288" s="4" t="str">
        <f t="shared" si="169"/>
        <v>96950</v>
      </c>
      <c r="R288" t="str">
        <f t="shared" si="164"/>
        <v>UNITED STATES OF AMERICA</v>
      </c>
      <c r="S288" t="str">
        <f t="shared" si="174"/>
        <v>N/A</v>
      </c>
      <c r="T288" s="5" t="str">
        <f t="shared" si="181"/>
        <v>16707836342</v>
      </c>
      <c r="U288" t="str">
        <f>""</f>
        <v/>
      </c>
      <c r="V288" s="5" t="str">
        <f>""</f>
        <v/>
      </c>
      <c r="W288" t="str">
        <f t="shared" si="182"/>
        <v>jnlcorporation.spn@gmail.com</v>
      </c>
      <c r="X288" t="str">
        <f t="shared" si="183"/>
        <v>JNL Corporation</v>
      </c>
      <c r="Y288" t="str">
        <f>"Marianas Manpower"</f>
        <v>Marianas Manpower</v>
      </c>
      <c r="Z288" t="str">
        <f>"P.O. Box 10001 PMB 1466"</f>
        <v>P.O. Box 10001 PMB 1466</v>
      </c>
      <c r="AA288" t="str">
        <f>""</f>
        <v/>
      </c>
      <c r="AB288" t="str">
        <f>"Saipan"</f>
        <v>Saipan</v>
      </c>
      <c r="AC288" t="str">
        <f t="shared" si="168"/>
        <v>MP</v>
      </c>
      <c r="AD288" t="str">
        <f t="shared" si="170"/>
        <v>96950</v>
      </c>
      <c r="AE288" t="str">
        <f t="shared" si="166"/>
        <v>UNITED STATES OF AMERICA</v>
      </c>
      <c r="AF288" t="str">
        <f t="shared" si="175"/>
        <v>N/A</v>
      </c>
      <c r="AG288" s="4" t="str">
        <f t="shared" si="184"/>
        <v>16707836342</v>
      </c>
      <c r="AH288" t="str">
        <f>""</f>
        <v/>
      </c>
      <c r="AI288" t="str">
        <f>"56132"</f>
        <v>56132</v>
      </c>
      <c r="AJ288" t="s">
        <v>79</v>
      </c>
      <c r="AK288" t="s">
        <v>79</v>
      </c>
      <c r="AL288" t="s">
        <v>80</v>
      </c>
      <c r="AM288" t="s">
        <v>79</v>
      </c>
      <c r="AP288" t="str">
        <f>"Maintenance and Repair General"</f>
        <v>Maintenance and Repair General</v>
      </c>
      <c r="AQ288" t="str">
        <f>"49-9071.00"</f>
        <v>49-9071.00</v>
      </c>
      <c r="AR288" t="str">
        <f>"Maintenance and Repair Workers, General"</f>
        <v>Maintenance and Repair Workers, General</v>
      </c>
      <c r="AS288" t="str">
        <f t="shared" si="185"/>
        <v>President</v>
      </c>
      <c r="AT288" t="s">
        <v>79</v>
      </c>
      <c r="AU288" t="str">
        <f>""</f>
        <v/>
      </c>
      <c r="AV288" t="str">
        <f>""</f>
        <v/>
      </c>
      <c r="AW288" t="s">
        <v>79</v>
      </c>
      <c r="AX288" t="str">
        <f>""</f>
        <v/>
      </c>
      <c r="AY288" t="s">
        <v>84</v>
      </c>
      <c r="BA288" t="s">
        <v>80</v>
      </c>
      <c r="BB288" t="s">
        <v>79</v>
      </c>
      <c r="BD288" t="s">
        <v>79</v>
      </c>
      <c r="BG288" t="s">
        <v>82</v>
      </c>
      <c r="BH288">
        <v>12</v>
      </c>
      <c r="BI288" t="s">
        <v>968</v>
      </c>
      <c r="BJ288" t="s">
        <v>969</v>
      </c>
      <c r="BK288" t="str">
        <f>"Ground Floor Blue Beach House Beach Road Chalan Laulau"</f>
        <v>Ground Floor Blue Beach House Beach Road Chalan Laulau</v>
      </c>
      <c r="BL288" t="str">
        <f>""</f>
        <v/>
      </c>
      <c r="BM288" t="str">
        <f t="shared" si="176"/>
        <v>Saipan</v>
      </c>
      <c r="BO288" t="s">
        <v>83</v>
      </c>
      <c r="BP288" s="4" t="str">
        <f t="shared" si="171"/>
        <v>96950</v>
      </c>
      <c r="BQ288" t="s">
        <v>79</v>
      </c>
      <c r="BR288" t="str">
        <f>"49-9071.00"</f>
        <v>49-9071.00</v>
      </c>
      <c r="BS288" t="s">
        <v>146</v>
      </c>
      <c r="BT288" s="3">
        <v>9.19</v>
      </c>
      <c r="BU288" t="s">
        <v>80</v>
      </c>
      <c r="BV288" t="s">
        <v>90</v>
      </c>
      <c r="BW288" t="s">
        <v>92</v>
      </c>
      <c r="BZ288" s="1">
        <v>45107</v>
      </c>
    </row>
    <row r="289" spans="1:78" ht="15" customHeight="1" x14ac:dyDescent="0.25">
      <c r="A289" t="s">
        <v>919</v>
      </c>
      <c r="B289" t="s">
        <v>94</v>
      </c>
      <c r="C289" s="1">
        <v>44844</v>
      </c>
      <c r="D289" s="1">
        <v>44893</v>
      </c>
      <c r="H289" t="s">
        <v>78</v>
      </c>
      <c r="I289" t="str">
        <f>"Urumelog"</f>
        <v>Urumelog</v>
      </c>
      <c r="J289" t="str">
        <f>"Fengying"</f>
        <v>Fengying</v>
      </c>
      <c r="K289" t="str">
        <f>"Li"</f>
        <v>Li</v>
      </c>
      <c r="L289" t="str">
        <f>"Secretary "</f>
        <v xml:space="preserve">Secretary </v>
      </c>
      <c r="M289" t="str">
        <f>"PMB-315, PO Box 10003"</f>
        <v>PMB-315, PO Box 10003</v>
      </c>
      <c r="N289" t="str">
        <f>""</f>
        <v/>
      </c>
      <c r="O289" t="str">
        <f t="shared" si="173"/>
        <v>Saipan</v>
      </c>
      <c r="P289" t="str">
        <f t="shared" si="167"/>
        <v>MP</v>
      </c>
      <c r="Q289" s="4" t="str">
        <f t="shared" si="169"/>
        <v>96950</v>
      </c>
      <c r="R289" t="str">
        <f t="shared" si="164"/>
        <v>UNITED STATES OF AMERICA</v>
      </c>
      <c r="S289" t="str">
        <f>""</f>
        <v/>
      </c>
      <c r="T289" s="5" t="str">
        <f>"16702338066"</f>
        <v>16702338066</v>
      </c>
      <c r="U289" t="str">
        <f>""</f>
        <v/>
      </c>
      <c r="V289" s="5" t="str">
        <f>""</f>
        <v/>
      </c>
      <c r="W289" t="str">
        <f>"purewaterspn@gmail.com"</f>
        <v>purewaterspn@gmail.com</v>
      </c>
      <c r="X289" t="str">
        <f>"Pure Water Corporation "</f>
        <v xml:space="preserve">Pure Water Corporation </v>
      </c>
      <c r="Y289" t="str">
        <f>"New Majestic Chinese Restaruant "</f>
        <v xml:space="preserve">New Majestic Chinese Restaruant </v>
      </c>
      <c r="Z289" t="str">
        <f>"PMB-315, PO Box 10003"</f>
        <v>PMB-315, PO Box 10003</v>
      </c>
      <c r="AA289" t="str">
        <f>""</f>
        <v/>
      </c>
      <c r="AB289" t="str">
        <f>"Saipan"</f>
        <v>Saipan</v>
      </c>
      <c r="AC289" t="str">
        <f t="shared" si="168"/>
        <v>MP</v>
      </c>
      <c r="AD289" t="str">
        <f t="shared" si="170"/>
        <v>96950</v>
      </c>
      <c r="AE289" t="str">
        <f t="shared" si="166"/>
        <v>UNITED STATES OF AMERICA</v>
      </c>
      <c r="AF289" t="str">
        <f>""</f>
        <v/>
      </c>
      <c r="AG289" s="4" t="str">
        <f>"16702338066"</f>
        <v>16702338066</v>
      </c>
      <c r="AH289" t="str">
        <f>""</f>
        <v/>
      </c>
      <c r="AI289" t="str">
        <f>"722511"</f>
        <v>722511</v>
      </c>
      <c r="AJ289" t="s">
        <v>79</v>
      </c>
      <c r="AK289" t="s">
        <v>79</v>
      </c>
      <c r="AL289" t="s">
        <v>80</v>
      </c>
      <c r="AM289" t="s">
        <v>79</v>
      </c>
      <c r="AP289" t="str">
        <f>"Waitress"</f>
        <v>Waitress</v>
      </c>
      <c r="AQ289" t="str">
        <f>"35-3031.00"</f>
        <v>35-3031.00</v>
      </c>
      <c r="AR289" t="str">
        <f>"Waiters and Waitresses"</f>
        <v>Waiters and Waitresses</v>
      </c>
      <c r="AS289" t="str">
        <f>"Manager"</f>
        <v>Manager</v>
      </c>
      <c r="AT289" t="s">
        <v>79</v>
      </c>
      <c r="AU289" t="str">
        <f>""</f>
        <v/>
      </c>
      <c r="AV289" t="str">
        <f>""</f>
        <v/>
      </c>
      <c r="AW289" t="s">
        <v>79</v>
      </c>
      <c r="AX289" t="str">
        <f>""</f>
        <v/>
      </c>
      <c r="AY289" t="s">
        <v>81</v>
      </c>
      <c r="BA289" t="s">
        <v>161</v>
      </c>
      <c r="BB289" t="s">
        <v>79</v>
      </c>
      <c r="BD289" t="s">
        <v>79</v>
      </c>
      <c r="BG289" t="s">
        <v>82</v>
      </c>
      <c r="BH289">
        <v>6</v>
      </c>
      <c r="BI289" t="s">
        <v>920</v>
      </c>
      <c r="BJ289" t="s">
        <v>920</v>
      </c>
      <c r="BK289" t="str">
        <f>"Plumeria Ave., Garapan"</f>
        <v>Plumeria Ave., Garapan</v>
      </c>
      <c r="BL289" t="str">
        <f>""</f>
        <v/>
      </c>
      <c r="BM289" t="str">
        <f t="shared" si="176"/>
        <v>Saipan</v>
      </c>
      <c r="BO289" t="s">
        <v>83</v>
      </c>
      <c r="BP289" s="4" t="str">
        <f t="shared" si="171"/>
        <v>96950</v>
      </c>
      <c r="BQ289" t="s">
        <v>79</v>
      </c>
      <c r="BR289" t="str">
        <f>"35-3031.00"</f>
        <v>35-3031.00</v>
      </c>
      <c r="BS289" t="s">
        <v>761</v>
      </c>
      <c r="BT289" s="3">
        <v>8.17</v>
      </c>
      <c r="BU289" t="s">
        <v>80</v>
      </c>
      <c r="BV289" t="s">
        <v>90</v>
      </c>
      <c r="BW289" t="s">
        <v>92</v>
      </c>
      <c r="BZ289" s="1">
        <v>45107</v>
      </c>
    </row>
    <row r="290" spans="1:78" ht="15" customHeight="1" x14ac:dyDescent="0.25">
      <c r="A290" t="s">
        <v>921</v>
      </c>
      <c r="B290" t="s">
        <v>94</v>
      </c>
      <c r="C290" s="1">
        <v>44844</v>
      </c>
      <c r="D290" s="1">
        <v>44893</v>
      </c>
      <c r="H290" t="s">
        <v>78</v>
      </c>
      <c r="I290" t="str">
        <f>"Urumelog"</f>
        <v>Urumelog</v>
      </c>
      <c r="J290" t="str">
        <f>"Fengying"</f>
        <v>Fengying</v>
      </c>
      <c r="K290" t="str">
        <f>"Li"</f>
        <v>Li</v>
      </c>
      <c r="L290" t="str">
        <f>"Secretary "</f>
        <v xml:space="preserve">Secretary </v>
      </c>
      <c r="M290" t="str">
        <f>"PMB-315, PO Box 10003"</f>
        <v>PMB-315, PO Box 10003</v>
      </c>
      <c r="N290" t="str">
        <f>""</f>
        <v/>
      </c>
      <c r="O290" t="str">
        <f t="shared" si="173"/>
        <v>Saipan</v>
      </c>
      <c r="P290" t="str">
        <f t="shared" si="167"/>
        <v>MP</v>
      </c>
      <c r="Q290" s="4" t="str">
        <f t="shared" si="169"/>
        <v>96950</v>
      </c>
      <c r="R290" t="str">
        <f t="shared" si="164"/>
        <v>UNITED STATES OF AMERICA</v>
      </c>
      <c r="S290" t="str">
        <f>""</f>
        <v/>
      </c>
      <c r="T290" s="5" t="str">
        <f>"16702338066"</f>
        <v>16702338066</v>
      </c>
      <c r="U290" t="str">
        <f>""</f>
        <v/>
      </c>
      <c r="V290" s="5" t="str">
        <f>""</f>
        <v/>
      </c>
      <c r="W290" t="str">
        <f>"purewaterspn@gmail.com"</f>
        <v>purewaterspn@gmail.com</v>
      </c>
      <c r="X290" t="str">
        <f>"Pure Water Corporation "</f>
        <v xml:space="preserve">Pure Water Corporation </v>
      </c>
      <c r="Y290" t="str">
        <f>"New Majestic Chinese Restaruant "</f>
        <v xml:space="preserve">New Majestic Chinese Restaruant </v>
      </c>
      <c r="Z290" t="str">
        <f>"PMB-315, PO Box 10003"</f>
        <v>PMB-315, PO Box 10003</v>
      </c>
      <c r="AA290" t="str">
        <f>""</f>
        <v/>
      </c>
      <c r="AB290" t="str">
        <f>"Saipan"</f>
        <v>Saipan</v>
      </c>
      <c r="AC290" t="str">
        <f t="shared" si="168"/>
        <v>MP</v>
      </c>
      <c r="AD290" t="str">
        <f t="shared" si="170"/>
        <v>96950</v>
      </c>
      <c r="AE290" t="str">
        <f t="shared" si="166"/>
        <v>UNITED STATES OF AMERICA</v>
      </c>
      <c r="AF290" t="str">
        <f>""</f>
        <v/>
      </c>
      <c r="AG290" s="4" t="str">
        <f>"16702338066"</f>
        <v>16702338066</v>
      </c>
      <c r="AH290" t="str">
        <f>""</f>
        <v/>
      </c>
      <c r="AI290" t="str">
        <f>"722511"</f>
        <v>722511</v>
      </c>
      <c r="AJ290" t="s">
        <v>79</v>
      </c>
      <c r="AK290" t="s">
        <v>79</v>
      </c>
      <c r="AL290" t="s">
        <v>80</v>
      </c>
      <c r="AM290" t="s">
        <v>79</v>
      </c>
      <c r="AP290" t="str">
        <f>"Manager "</f>
        <v xml:space="preserve">Manager </v>
      </c>
      <c r="AQ290" t="str">
        <f>"11-2022.00"</f>
        <v>11-2022.00</v>
      </c>
      <c r="AR290" t="str">
        <f>"Sales Managers"</f>
        <v>Sales Managers</v>
      </c>
      <c r="AS290" t="str">
        <f>"None"</f>
        <v>None</v>
      </c>
      <c r="AT290" t="s">
        <v>82</v>
      </c>
      <c r="AU290" t="str">
        <f>"1"</f>
        <v>1</v>
      </c>
      <c r="AV290" t="str">
        <f>"Subordinate"</f>
        <v>Subordinate</v>
      </c>
      <c r="AW290" t="s">
        <v>79</v>
      </c>
      <c r="AX290" t="str">
        <f>""</f>
        <v/>
      </c>
      <c r="AY290" t="s">
        <v>84</v>
      </c>
      <c r="BA290" t="s">
        <v>246</v>
      </c>
      <c r="BB290" t="s">
        <v>79</v>
      </c>
      <c r="BD290" t="s">
        <v>79</v>
      </c>
      <c r="BG290" t="s">
        <v>82</v>
      </c>
      <c r="BH290">
        <v>24</v>
      </c>
      <c r="BI290" t="s">
        <v>922</v>
      </c>
      <c r="BJ290" t="s">
        <v>922</v>
      </c>
      <c r="BK290" t="str">
        <f>"Plumeria Ave., Garapan"</f>
        <v>Plumeria Ave., Garapan</v>
      </c>
      <c r="BL290" t="str">
        <f>""</f>
        <v/>
      </c>
      <c r="BM290" t="str">
        <f t="shared" si="176"/>
        <v>Saipan</v>
      </c>
      <c r="BO290" t="s">
        <v>83</v>
      </c>
      <c r="BP290" s="4" t="str">
        <f t="shared" si="171"/>
        <v>96950</v>
      </c>
      <c r="BQ290" t="s">
        <v>79</v>
      </c>
      <c r="BR290" t="str">
        <f>"11-2022.00"</f>
        <v>11-2022.00</v>
      </c>
      <c r="BS290" t="s">
        <v>470</v>
      </c>
      <c r="BT290" s="3">
        <v>16.7</v>
      </c>
      <c r="BU290" t="s">
        <v>80</v>
      </c>
      <c r="BV290" t="s">
        <v>90</v>
      </c>
      <c r="BW290" t="s">
        <v>92</v>
      </c>
      <c r="BZ290" s="1">
        <v>45107</v>
      </c>
    </row>
    <row r="291" spans="1:78" ht="15" customHeight="1" x14ac:dyDescent="0.25">
      <c r="A291" t="s">
        <v>923</v>
      </c>
      <c r="B291" t="s">
        <v>94</v>
      </c>
      <c r="C291" s="1">
        <v>44844</v>
      </c>
      <c r="D291" s="1">
        <v>44893</v>
      </c>
      <c r="H291" t="s">
        <v>78</v>
      </c>
      <c r="I291" t="str">
        <f>"AVENDANO"</f>
        <v>AVENDANO</v>
      </c>
      <c r="J291" t="str">
        <f>"FIDELISA"</f>
        <v>FIDELISA</v>
      </c>
      <c r="K291" t="str">
        <f>"CAL"</f>
        <v>CAL</v>
      </c>
      <c r="L291" t="str">
        <f>"AUTHORIZED REPRESENTATIVE"</f>
        <v>AUTHORIZED REPRESENTATIVE</v>
      </c>
      <c r="M291" t="str">
        <f>"CHALAN PALE ARNOLD 1ST FLOOR, ACE BUILDING CHALAN LAULAU"</f>
        <v>CHALAN PALE ARNOLD 1ST FLOOR, ACE BUILDING CHALAN LAULAU</v>
      </c>
      <c r="N291" t="str">
        <f>"P.O. BOX 503024"</f>
        <v>P.O. BOX 503024</v>
      </c>
      <c r="O291" t="str">
        <f>"SAIPAN"</f>
        <v>SAIPAN</v>
      </c>
      <c r="P291" t="str">
        <f t="shared" si="167"/>
        <v>MP</v>
      </c>
      <c r="Q291" s="4" t="str">
        <f t="shared" si="169"/>
        <v>96950</v>
      </c>
      <c r="R291" t="str">
        <f t="shared" si="164"/>
        <v>UNITED STATES OF AMERICA</v>
      </c>
      <c r="S291" t="str">
        <f>"N/A"</f>
        <v>N/A</v>
      </c>
      <c r="T291" s="5" t="str">
        <f>"16702346278"</f>
        <v>16702346278</v>
      </c>
      <c r="U291" t="str">
        <f>""</f>
        <v/>
      </c>
      <c r="V291" s="5" t="str">
        <f>""</f>
        <v/>
      </c>
      <c r="W291" t="str">
        <f>"cnmicw12019@gmail.com"</f>
        <v>cnmicw12019@gmail.com</v>
      </c>
      <c r="X291" t="str">
        <f>"HANOM INVESTMENT SAIPAN, INC."</f>
        <v>HANOM INVESTMENT SAIPAN, INC.</v>
      </c>
      <c r="Y291" t="str">
        <f>"TREASURE GAME CLUB 777"</f>
        <v>TREASURE GAME CLUB 777</v>
      </c>
      <c r="Z291" t="str">
        <f>"COFFEE TREE MALL STREET GARAPAN"</f>
        <v>COFFEE TREE MALL STREET GARAPAN</v>
      </c>
      <c r="AA291" t="str">
        <f>"PMB 400 BOX 10005"</f>
        <v>PMB 400 BOX 10005</v>
      </c>
      <c r="AB291" t="str">
        <f>"SAIPAN"</f>
        <v>SAIPAN</v>
      </c>
      <c r="AC291" t="str">
        <f t="shared" si="168"/>
        <v>MP</v>
      </c>
      <c r="AD291" t="str">
        <f t="shared" si="170"/>
        <v>96950</v>
      </c>
      <c r="AE291" t="str">
        <f t="shared" si="166"/>
        <v>UNITED STATES OF AMERICA</v>
      </c>
      <c r="AF291" t="str">
        <f>"N/A"</f>
        <v>N/A</v>
      </c>
      <c r="AG291" s="4" t="str">
        <f>"16702335100"</f>
        <v>16702335100</v>
      </c>
      <c r="AH291" t="str">
        <f>""</f>
        <v/>
      </c>
      <c r="AI291" t="str">
        <f>"71329"</f>
        <v>71329</v>
      </c>
      <c r="AJ291" t="s">
        <v>79</v>
      </c>
      <c r="AK291" t="s">
        <v>79</v>
      </c>
      <c r="AL291" t="s">
        <v>80</v>
      </c>
      <c r="AM291" t="s">
        <v>79</v>
      </c>
      <c r="AP291" t="str">
        <f>"BOOTH CASHIER"</f>
        <v>BOOTH CASHIER</v>
      </c>
      <c r="AQ291" t="str">
        <f>"41-2012.00"</f>
        <v>41-2012.00</v>
      </c>
      <c r="AR291" t="str">
        <f>"Gambling Change Persons and Booth Cashiers"</f>
        <v>Gambling Change Persons and Booth Cashiers</v>
      </c>
      <c r="AS291" t="str">
        <f>"GENERAL MANAGER"</f>
        <v>GENERAL MANAGER</v>
      </c>
      <c r="AT291" t="s">
        <v>79</v>
      </c>
      <c r="AU291" t="str">
        <f>""</f>
        <v/>
      </c>
      <c r="AV291" t="str">
        <f>""</f>
        <v/>
      </c>
      <c r="AW291" t="s">
        <v>79</v>
      </c>
      <c r="AX291" t="str">
        <f>""</f>
        <v/>
      </c>
      <c r="AY291" t="s">
        <v>84</v>
      </c>
      <c r="BA291" t="s">
        <v>80</v>
      </c>
      <c r="BB291" t="s">
        <v>79</v>
      </c>
      <c r="BD291" t="s">
        <v>79</v>
      </c>
      <c r="BG291" t="s">
        <v>82</v>
      </c>
      <c r="BH291">
        <v>12</v>
      </c>
      <c r="BI291" t="s">
        <v>924</v>
      </c>
      <c r="BJ291" t="s">
        <v>925</v>
      </c>
      <c r="BK291" t="str">
        <f>"COFFEE TREE MALL STREET, GARAPAN"</f>
        <v>COFFEE TREE MALL STREET, GARAPAN</v>
      </c>
      <c r="BL291" t="str">
        <f>"N/A"</f>
        <v>N/A</v>
      </c>
      <c r="BM291" t="str">
        <f>"SAIPAN"</f>
        <v>SAIPAN</v>
      </c>
      <c r="BO291" t="s">
        <v>83</v>
      </c>
      <c r="BP291" s="4" t="str">
        <f t="shared" si="171"/>
        <v>96950</v>
      </c>
      <c r="BQ291" t="s">
        <v>79</v>
      </c>
      <c r="BR291" t="str">
        <f>"41-2012.00"</f>
        <v>41-2012.00</v>
      </c>
      <c r="BS291" t="s">
        <v>926</v>
      </c>
      <c r="BT291" s="3">
        <v>9.9700000000000006</v>
      </c>
      <c r="BU291" t="s">
        <v>80</v>
      </c>
      <c r="BV291" t="s">
        <v>90</v>
      </c>
      <c r="BW291" t="s">
        <v>92</v>
      </c>
      <c r="BZ291" s="1">
        <v>45107</v>
      </c>
    </row>
    <row r="292" spans="1:78" ht="15" customHeight="1" x14ac:dyDescent="0.25">
      <c r="A292" t="s">
        <v>927</v>
      </c>
      <c r="B292" t="s">
        <v>94</v>
      </c>
      <c r="C292" s="1">
        <v>44844</v>
      </c>
      <c r="D292" s="1">
        <v>44893</v>
      </c>
      <c r="H292" t="s">
        <v>78</v>
      </c>
      <c r="I292" t="str">
        <f>"AVENDANO"</f>
        <v>AVENDANO</v>
      </c>
      <c r="J292" t="str">
        <f>"FIDELISA"</f>
        <v>FIDELISA</v>
      </c>
      <c r="K292" t="str">
        <f>"CAL"</f>
        <v>CAL</v>
      </c>
      <c r="L292" t="str">
        <f>"AUTHORIZED REPRESENTATIVE"</f>
        <v>AUTHORIZED REPRESENTATIVE</v>
      </c>
      <c r="M292" t="str">
        <f>"CHALAN PALE ARNOLD, 1ST FLOOR ACE BLDG., CHALAN LAULAU"</f>
        <v>CHALAN PALE ARNOLD, 1ST FLOOR ACE BLDG., CHALAN LAULAU</v>
      </c>
      <c r="N292" t="str">
        <f>"P.O. BOX 503024"</f>
        <v>P.O. BOX 503024</v>
      </c>
      <c r="O292" t="str">
        <f>"SAIPAN"</f>
        <v>SAIPAN</v>
      </c>
      <c r="P292" t="str">
        <f t="shared" si="167"/>
        <v>MP</v>
      </c>
      <c r="Q292" s="4" t="str">
        <f t="shared" si="169"/>
        <v>96950</v>
      </c>
      <c r="R292" t="str">
        <f t="shared" si="164"/>
        <v>UNITED STATES OF AMERICA</v>
      </c>
      <c r="S292" t="str">
        <f>"N/A"</f>
        <v>N/A</v>
      </c>
      <c r="T292" s="5" t="str">
        <f>"16702346278"</f>
        <v>16702346278</v>
      </c>
      <c r="U292" t="str">
        <f>""</f>
        <v/>
      </c>
      <c r="V292" s="5" t="str">
        <f>""</f>
        <v/>
      </c>
      <c r="W292" t="str">
        <f>"cnmicw12019@gmail.com"</f>
        <v>cnmicw12019@gmail.com</v>
      </c>
      <c r="X292" t="str">
        <f>"INTER PACIFIC CORPORATION"</f>
        <v>INTER PACIFIC CORPORATION</v>
      </c>
      <c r="Y292" t="str">
        <f>"INTER-KAM INSURANCE AGENCY / HAPPY DREAM AGENCY"</f>
        <v>INTER-KAM INSURANCE AGENCY / HAPPY DREAM AGENCY</v>
      </c>
      <c r="Z292" t="str">
        <f>"BEACH ROAD, GARAPAN"</f>
        <v>BEACH ROAD, GARAPAN</v>
      </c>
      <c r="AA292" t="str">
        <f>"N/A"</f>
        <v>N/A</v>
      </c>
      <c r="AB292" t="str">
        <f>"SAIPAN"</f>
        <v>SAIPAN</v>
      </c>
      <c r="AC292" t="str">
        <f t="shared" si="168"/>
        <v>MP</v>
      </c>
      <c r="AD292" t="str">
        <f t="shared" si="170"/>
        <v>96950</v>
      </c>
      <c r="AE292" t="str">
        <f t="shared" si="166"/>
        <v>UNITED STATES OF AMERICA</v>
      </c>
      <c r="AF292" t="str">
        <f>"N/A"</f>
        <v>N/A</v>
      </c>
      <c r="AG292" s="4" t="str">
        <f>"16702345555"</f>
        <v>16702345555</v>
      </c>
      <c r="AH292" t="str">
        <f>""</f>
        <v/>
      </c>
      <c r="AI292" t="str">
        <f>"561410"</f>
        <v>561410</v>
      </c>
      <c r="AJ292" t="s">
        <v>79</v>
      </c>
      <c r="AK292" t="s">
        <v>79</v>
      </c>
      <c r="AL292" t="s">
        <v>80</v>
      </c>
      <c r="AM292" t="s">
        <v>79</v>
      </c>
      <c r="AP292" t="str">
        <f>"BOOKKEEPING, ACCOUNTING AND AUDITING CLERK"</f>
        <v>BOOKKEEPING, ACCOUNTING AND AUDITING CLERK</v>
      </c>
      <c r="AQ292" t="str">
        <f>"43-3031.00"</f>
        <v>43-3031.00</v>
      </c>
      <c r="AR292" t="str">
        <f>"Bookkeeping, Accounting, and Auditing Clerks"</f>
        <v>Bookkeeping, Accounting, and Auditing Clerks</v>
      </c>
      <c r="AS292" t="str">
        <f>"PRESIDENT"</f>
        <v>PRESIDENT</v>
      </c>
      <c r="AT292" t="s">
        <v>79</v>
      </c>
      <c r="AU292" t="str">
        <f>""</f>
        <v/>
      </c>
      <c r="AV292" t="str">
        <f>""</f>
        <v/>
      </c>
      <c r="AW292" t="s">
        <v>79</v>
      </c>
      <c r="AX292" t="str">
        <f>""</f>
        <v/>
      </c>
      <c r="AY292" t="s">
        <v>124</v>
      </c>
      <c r="BA292" t="s">
        <v>80</v>
      </c>
      <c r="BB292" t="s">
        <v>79</v>
      </c>
      <c r="BD292" t="s">
        <v>79</v>
      </c>
      <c r="BG292" t="s">
        <v>82</v>
      </c>
      <c r="BH292">
        <v>24</v>
      </c>
      <c r="BI292" t="s">
        <v>928</v>
      </c>
      <c r="BJ292" s="2" t="s">
        <v>929</v>
      </c>
      <c r="BK292" t="str">
        <f>"BEACH ROAD, GARAPAN"</f>
        <v>BEACH ROAD, GARAPAN</v>
      </c>
      <c r="BL292" t="str">
        <f>"N/A"</f>
        <v>N/A</v>
      </c>
      <c r="BM292" t="str">
        <f>"SAIPAN"</f>
        <v>SAIPAN</v>
      </c>
      <c r="BO292" t="s">
        <v>83</v>
      </c>
      <c r="BP292" s="4" t="str">
        <f t="shared" si="171"/>
        <v>96950</v>
      </c>
      <c r="BQ292" t="s">
        <v>79</v>
      </c>
      <c r="BR292" t="str">
        <f>"43-3031.00"</f>
        <v>43-3031.00</v>
      </c>
      <c r="BS292" t="s">
        <v>142</v>
      </c>
      <c r="BT292" s="3">
        <v>11.21</v>
      </c>
      <c r="BU292" t="s">
        <v>80</v>
      </c>
      <c r="BV292" t="s">
        <v>90</v>
      </c>
      <c r="BW292" t="s">
        <v>92</v>
      </c>
      <c r="BZ292" s="1">
        <v>45107</v>
      </c>
    </row>
    <row r="293" spans="1:78" ht="15" customHeight="1" x14ac:dyDescent="0.25">
      <c r="A293" t="s">
        <v>930</v>
      </c>
      <c r="B293" t="s">
        <v>94</v>
      </c>
      <c r="C293" s="1">
        <v>44844</v>
      </c>
      <c r="D293" s="1">
        <v>44893</v>
      </c>
      <c r="H293" t="s">
        <v>78</v>
      </c>
      <c r="I293" t="str">
        <f>"Rodriguez"</f>
        <v>Rodriguez</v>
      </c>
      <c r="J293" t="str">
        <f>"Pablo"</f>
        <v>Pablo</v>
      </c>
      <c r="K293" t="str">
        <f>""</f>
        <v/>
      </c>
      <c r="L293" t="str">
        <f>"Law Office of Pablo Rodriguez, PLLC"</f>
        <v>Law Office of Pablo Rodriguez, PLLC</v>
      </c>
      <c r="M293" t="str">
        <f>"11243 Southwest Freeway"</f>
        <v>11243 Southwest Freeway</v>
      </c>
      <c r="N293" t="str">
        <f>""</f>
        <v/>
      </c>
      <c r="O293" t="str">
        <f>"Houston"</f>
        <v>Houston</v>
      </c>
      <c r="P293" t="str">
        <f>"TX"</f>
        <v>TX</v>
      </c>
      <c r="Q293" s="4" t="str">
        <f>"77031"</f>
        <v>77031</v>
      </c>
      <c r="R293" t="str">
        <f t="shared" si="164"/>
        <v>UNITED STATES OF AMERICA</v>
      </c>
      <c r="S293" t="str">
        <f>""</f>
        <v/>
      </c>
      <c r="T293" s="5" t="str">
        <f>"18322582504"</f>
        <v>18322582504</v>
      </c>
      <c r="U293" t="str">
        <f>""</f>
        <v/>
      </c>
      <c r="V293" s="5" t="str">
        <f>""</f>
        <v/>
      </c>
      <c r="W293" t="str">
        <f>"Pablorodriguez_lawfirm@outlook.com"</f>
        <v>Pablorodriguez_lawfirm@outlook.com</v>
      </c>
      <c r="X293" t="str">
        <f>"A-Rocket Moving &amp; Storage"</f>
        <v>A-Rocket Moving &amp; Storage</v>
      </c>
      <c r="Y293" t="str">
        <f>""</f>
        <v/>
      </c>
      <c r="Z293" t="str">
        <f>"3401 Corder St"</f>
        <v>3401 Corder St</v>
      </c>
      <c r="AA293" t="str">
        <f>""</f>
        <v/>
      </c>
      <c r="AB293" t="str">
        <f>"Houston"</f>
        <v>Houston</v>
      </c>
      <c r="AC293" t="str">
        <f>"TX"</f>
        <v>TX</v>
      </c>
      <c r="AD293" t="str">
        <f>"77021"</f>
        <v>77021</v>
      </c>
      <c r="AE293" t="str">
        <f t="shared" si="166"/>
        <v>UNITED STATES OF AMERICA</v>
      </c>
      <c r="AF293" t="str">
        <f>""</f>
        <v/>
      </c>
      <c r="AG293" s="4" t="str">
        <f>"17136780556"</f>
        <v>17136780556</v>
      </c>
      <c r="AH293" t="str">
        <f>""</f>
        <v/>
      </c>
      <c r="AI293" t="str">
        <f>"48849"</f>
        <v>48849</v>
      </c>
      <c r="AJ293" t="s">
        <v>79</v>
      </c>
      <c r="AK293" t="s">
        <v>79</v>
      </c>
      <c r="AL293" t="s">
        <v>80</v>
      </c>
      <c r="AM293" t="s">
        <v>79</v>
      </c>
      <c r="AP293" t="str">
        <f>"Truck Driver"</f>
        <v>Truck Driver</v>
      </c>
      <c r="AQ293" t="str">
        <f>""</f>
        <v/>
      </c>
      <c r="AR293" t="str">
        <f>""</f>
        <v/>
      </c>
      <c r="AS293" t="str">
        <f>"Truck Driver"</f>
        <v>Truck Driver</v>
      </c>
      <c r="AT293" t="s">
        <v>79</v>
      </c>
      <c r="AU293" t="str">
        <f>""</f>
        <v/>
      </c>
      <c r="AV293" t="str">
        <f>""</f>
        <v/>
      </c>
      <c r="AW293" t="s">
        <v>82</v>
      </c>
      <c r="AX293" t="str">
        <f>"To various cities in the state for delivery"</f>
        <v>To various cities in the state for delivery</v>
      </c>
      <c r="AY293" t="s">
        <v>84</v>
      </c>
      <c r="BA293" t="s">
        <v>80</v>
      </c>
      <c r="BB293" t="s">
        <v>79</v>
      </c>
      <c r="BD293" t="s">
        <v>79</v>
      </c>
      <c r="BG293" t="s">
        <v>82</v>
      </c>
      <c r="BH293">
        <v>24</v>
      </c>
      <c r="BI293" t="s">
        <v>931</v>
      </c>
      <c r="BJ293" t="s">
        <v>932</v>
      </c>
      <c r="BK293" t="str">
        <f>"3401 Corder St"</f>
        <v>3401 Corder St</v>
      </c>
      <c r="BL293" t="str">
        <f>""</f>
        <v/>
      </c>
      <c r="BM293" t="str">
        <f>"Houston"</f>
        <v>Houston</v>
      </c>
      <c r="BO293" t="s">
        <v>83</v>
      </c>
      <c r="BP293" s="4" t="str">
        <f>"77021"</f>
        <v>77021</v>
      </c>
      <c r="BQ293" t="s">
        <v>79</v>
      </c>
      <c r="BR293" t="str">
        <f>"53-3032.00"</f>
        <v>53-3032.00</v>
      </c>
      <c r="BS293" t="s">
        <v>829</v>
      </c>
      <c r="BT293" s="3">
        <v>10.09</v>
      </c>
      <c r="BU293" t="s">
        <v>80</v>
      </c>
      <c r="BV293" t="s">
        <v>90</v>
      </c>
      <c r="BW293" t="s">
        <v>92</v>
      </c>
      <c r="BZ293" s="1">
        <v>45107</v>
      </c>
    </row>
    <row r="294" spans="1:78" ht="15" customHeight="1" x14ac:dyDescent="0.25">
      <c r="A294" t="s">
        <v>933</v>
      </c>
      <c r="B294" t="s">
        <v>94</v>
      </c>
      <c r="C294" s="1">
        <v>44844</v>
      </c>
      <c r="D294" s="1">
        <v>44893</v>
      </c>
      <c r="H294" t="s">
        <v>78</v>
      </c>
      <c r="I294" t="str">
        <f>"Lisua"</f>
        <v>Lisua</v>
      </c>
      <c r="J294" t="str">
        <f>"Maxima"</f>
        <v>Maxima</v>
      </c>
      <c r="K294" t="str">
        <f>"Litulumar"</f>
        <v>Litulumar</v>
      </c>
      <c r="L294" t="str">
        <f>"Human Resources"</f>
        <v>Human Resources</v>
      </c>
      <c r="M294" t="str">
        <f>"Lowerbase Drive"</f>
        <v>Lowerbase Drive</v>
      </c>
      <c r="N294" t="str">
        <f>"Lot # 005-E-01"</f>
        <v>Lot # 005-E-01</v>
      </c>
      <c r="O294" t="str">
        <f>"Saipan"</f>
        <v>Saipan</v>
      </c>
      <c r="P294" t="str">
        <f t="shared" ref="P294:P320" si="186">"MP"</f>
        <v>MP</v>
      </c>
      <c r="Q294" s="4" t="str">
        <f t="shared" ref="Q294:Q320" si="187">"96950"</f>
        <v>96950</v>
      </c>
      <c r="R294" t="str">
        <f t="shared" si="164"/>
        <v>UNITED STATES OF AMERICA</v>
      </c>
      <c r="S294" t="str">
        <f>""</f>
        <v/>
      </c>
      <c r="T294" s="5" t="str">
        <f>"16703226130"</f>
        <v>16703226130</v>
      </c>
      <c r="U294" t="str">
        <f>""</f>
        <v/>
      </c>
      <c r="V294" s="5" t="str">
        <f>""</f>
        <v/>
      </c>
      <c r="W294" t="str">
        <f>"maxiel@saipanice.com"</f>
        <v>maxiel@saipanice.com</v>
      </c>
      <c r="X294" t="str">
        <f>"Milagros Parchamento Pellegrino"</f>
        <v>Milagros Parchamento Pellegrino</v>
      </c>
      <c r="Y294" t="str">
        <f>"Saipan Ice and Water Company"</f>
        <v>Saipan Ice and Water Company</v>
      </c>
      <c r="Z294" t="str">
        <f>"Lowerbase Drive"</f>
        <v>Lowerbase Drive</v>
      </c>
      <c r="AA294" t="str">
        <f>"Lot # 005-E-01"</f>
        <v>Lot # 005-E-01</v>
      </c>
      <c r="AB294" t="str">
        <f>"Saipan"</f>
        <v>Saipan</v>
      </c>
      <c r="AC294" t="str">
        <f t="shared" ref="AC294:AC320" si="188">"MP"</f>
        <v>MP</v>
      </c>
      <c r="AD294" t="str">
        <f t="shared" ref="AD294:AD325" si="189">"96950"</f>
        <v>96950</v>
      </c>
      <c r="AE294" t="str">
        <f t="shared" si="166"/>
        <v>UNITED STATES OF AMERICA</v>
      </c>
      <c r="AF294" t="str">
        <f>""</f>
        <v/>
      </c>
      <c r="AG294" s="4" t="str">
        <f>"16703226130"</f>
        <v>16703226130</v>
      </c>
      <c r="AH294" t="str">
        <f>""</f>
        <v/>
      </c>
      <c r="AI294" t="str">
        <f>"312112"</f>
        <v>312112</v>
      </c>
      <c r="AJ294" t="s">
        <v>79</v>
      </c>
      <c r="AK294" t="s">
        <v>79</v>
      </c>
      <c r="AL294" t="s">
        <v>80</v>
      </c>
      <c r="AM294" t="s">
        <v>79</v>
      </c>
      <c r="AP294" t="str">
        <f>"Driver/ Sales Worker"</f>
        <v>Driver/ Sales Worker</v>
      </c>
      <c r="AQ294" t="str">
        <f>""</f>
        <v/>
      </c>
      <c r="AR294" t="str">
        <f>""</f>
        <v/>
      </c>
      <c r="AS294" t="str">
        <f>"Sales Supervisor"</f>
        <v>Sales Supervisor</v>
      </c>
      <c r="AT294" t="s">
        <v>79</v>
      </c>
      <c r="AU294" t="str">
        <f>""</f>
        <v/>
      </c>
      <c r="AV294" t="str">
        <f>""</f>
        <v/>
      </c>
      <c r="AW294" t="s">
        <v>82</v>
      </c>
      <c r="AX294" t="s">
        <v>934</v>
      </c>
      <c r="AY294" t="s">
        <v>84</v>
      </c>
      <c r="BA294" t="s">
        <v>80</v>
      </c>
      <c r="BB294" t="s">
        <v>79</v>
      </c>
      <c r="BD294" t="s">
        <v>82</v>
      </c>
      <c r="BE294">
        <v>2</v>
      </c>
      <c r="BF294" t="s">
        <v>935</v>
      </c>
      <c r="BG294" t="s">
        <v>79</v>
      </c>
      <c r="BJ294" t="s">
        <v>936</v>
      </c>
      <c r="BK294" t="str">
        <f>"Lowerbase Drive"</f>
        <v>Lowerbase Drive</v>
      </c>
      <c r="BL294" t="str">
        <f>"Lot # 005-E-01"</f>
        <v>Lot # 005-E-01</v>
      </c>
      <c r="BM294" t="str">
        <f>"Saipan"</f>
        <v>Saipan</v>
      </c>
      <c r="BO294" t="s">
        <v>83</v>
      </c>
      <c r="BP294" s="4" t="str">
        <f t="shared" ref="BP294:BP312" si="190">"96950"</f>
        <v>96950</v>
      </c>
      <c r="BQ294" t="s">
        <v>79</v>
      </c>
      <c r="BR294" t="str">
        <f>"53-3033.00"</f>
        <v>53-3033.00</v>
      </c>
      <c r="BS294" t="s">
        <v>625</v>
      </c>
      <c r="BT294" s="3">
        <v>7.87</v>
      </c>
      <c r="BU294" t="s">
        <v>80</v>
      </c>
      <c r="BV294" t="s">
        <v>90</v>
      </c>
      <c r="BW294" t="s">
        <v>92</v>
      </c>
      <c r="BZ294" s="1">
        <v>45107</v>
      </c>
    </row>
    <row r="295" spans="1:78" ht="15" customHeight="1" x14ac:dyDescent="0.25">
      <c r="A295" t="s">
        <v>904</v>
      </c>
      <c r="B295" t="s">
        <v>94</v>
      </c>
      <c r="C295" s="1">
        <v>44843</v>
      </c>
      <c r="D295" s="1">
        <v>44887</v>
      </c>
      <c r="H295" t="s">
        <v>78</v>
      </c>
      <c r="I295" t="str">
        <f>"LEON GUERRERO "</f>
        <v xml:space="preserve">LEON GUERRERO </v>
      </c>
      <c r="J295" t="str">
        <f>"BERTHA "</f>
        <v xml:space="preserve">BERTHA </v>
      </c>
      <c r="K295" t="str">
        <f>"CAMACHO "</f>
        <v xml:space="preserve">CAMACHO </v>
      </c>
      <c r="L295" t="str">
        <f>"OPERATIONS DIRECTOR"</f>
        <v>OPERATIONS DIRECTOR</v>
      </c>
      <c r="M295" t="str">
        <f>"P.O BOX 502370"</f>
        <v>P.O BOX 502370</v>
      </c>
      <c r="N295" t="str">
        <f>""</f>
        <v/>
      </c>
      <c r="O295" t="str">
        <f>"SAIPAN "</f>
        <v xml:space="preserve">SAIPAN </v>
      </c>
      <c r="P295" t="str">
        <f t="shared" si="186"/>
        <v>MP</v>
      </c>
      <c r="Q295" s="4" t="str">
        <f t="shared" si="187"/>
        <v>96950</v>
      </c>
      <c r="R295" t="str">
        <f t="shared" si="164"/>
        <v>UNITED STATES OF AMERICA</v>
      </c>
      <c r="S295" t="str">
        <f>""</f>
        <v/>
      </c>
      <c r="T295" s="5" t="str">
        <f>"16702861947"</f>
        <v>16702861947</v>
      </c>
      <c r="U295" t="str">
        <f>""</f>
        <v/>
      </c>
      <c r="V295" s="5" t="str">
        <f>""</f>
        <v/>
      </c>
      <c r="W295" t="str">
        <f>"bclg.mri@gmail.com"</f>
        <v>bclg.mri@gmail.com</v>
      </c>
      <c r="X295" t="str">
        <f>"MARIANAS STAFFING SOLUTIONS, INC. "</f>
        <v xml:space="preserve">MARIANAS STAFFING SOLUTIONS, INC. </v>
      </c>
      <c r="Y295" t="str">
        <f>""</f>
        <v/>
      </c>
      <c r="Z295" t="str">
        <f>"P.O BOX 502370"</f>
        <v>P.O BOX 502370</v>
      </c>
      <c r="AA295" t="str">
        <f>""</f>
        <v/>
      </c>
      <c r="AB295" t="str">
        <f>"SAIPAN "</f>
        <v xml:space="preserve">SAIPAN </v>
      </c>
      <c r="AC295" t="str">
        <f t="shared" si="188"/>
        <v>MP</v>
      </c>
      <c r="AD295" t="str">
        <f t="shared" si="189"/>
        <v>96950</v>
      </c>
      <c r="AE295" t="str">
        <f t="shared" si="166"/>
        <v>UNITED STATES OF AMERICA</v>
      </c>
      <c r="AF295" t="str">
        <f>""</f>
        <v/>
      </c>
      <c r="AG295" s="4" t="str">
        <f>"16702861947"</f>
        <v>16702861947</v>
      </c>
      <c r="AH295" t="str">
        <f>""</f>
        <v/>
      </c>
      <c r="AI295" t="str">
        <f>"561311"</f>
        <v>561311</v>
      </c>
      <c r="AJ295" t="s">
        <v>79</v>
      </c>
      <c r="AK295" t="s">
        <v>79</v>
      </c>
      <c r="AL295" t="s">
        <v>80</v>
      </c>
      <c r="AM295" t="s">
        <v>79</v>
      </c>
      <c r="AP295" t="str">
        <f>"GUEST SERVICE REPRESENTATIVE "</f>
        <v xml:space="preserve">GUEST SERVICE REPRESENTATIVE </v>
      </c>
      <c r="AQ295" t="str">
        <f>"43-4081.00"</f>
        <v>43-4081.00</v>
      </c>
      <c r="AR295" t="str">
        <f>"Hotel, Motel, and Resort Desk Clerks"</f>
        <v>Hotel, Motel, and Resort Desk Clerks</v>
      </c>
      <c r="AS295" t="str">
        <f>"FRONT OFFICE SUPERVISOR "</f>
        <v xml:space="preserve">FRONT OFFICE SUPERVISOR </v>
      </c>
      <c r="AT295" t="s">
        <v>79</v>
      </c>
      <c r="AU295" t="str">
        <f>""</f>
        <v/>
      </c>
      <c r="AV295" t="str">
        <f>""</f>
        <v/>
      </c>
      <c r="AW295" t="s">
        <v>79</v>
      </c>
      <c r="AX295" t="str">
        <f>""</f>
        <v/>
      </c>
      <c r="AY295" t="s">
        <v>84</v>
      </c>
      <c r="BA295" t="s">
        <v>80</v>
      </c>
      <c r="BB295" t="s">
        <v>79</v>
      </c>
      <c r="BD295" t="s">
        <v>79</v>
      </c>
      <c r="BG295" t="s">
        <v>82</v>
      </c>
      <c r="BH295">
        <v>12</v>
      </c>
      <c r="BI295" t="s">
        <v>905</v>
      </c>
      <c r="BJ295" s="2" t="s">
        <v>906</v>
      </c>
      <c r="BK295" t="str">
        <f>"SAN ANTONIO VILLAGE "</f>
        <v xml:space="preserve">SAN ANTONIO VILLAGE </v>
      </c>
      <c r="BL295" t="str">
        <f>""</f>
        <v/>
      </c>
      <c r="BM295" t="str">
        <f>"SAIPAN "</f>
        <v xml:space="preserve">SAIPAN </v>
      </c>
      <c r="BO295" t="s">
        <v>83</v>
      </c>
      <c r="BP295" s="4" t="str">
        <f t="shared" si="190"/>
        <v>96950</v>
      </c>
      <c r="BQ295" t="s">
        <v>82</v>
      </c>
      <c r="BR295" t="str">
        <f>"43-4081.00"</f>
        <v>43-4081.00</v>
      </c>
      <c r="BS295" t="s">
        <v>563</v>
      </c>
      <c r="BT295" s="3">
        <v>8.08</v>
      </c>
      <c r="BU295" t="s">
        <v>80</v>
      </c>
      <c r="BV295" t="s">
        <v>90</v>
      </c>
      <c r="BW295" t="s">
        <v>92</v>
      </c>
      <c r="BZ295" s="1">
        <v>45107</v>
      </c>
    </row>
    <row r="296" spans="1:78" ht="15" customHeight="1" x14ac:dyDescent="0.25">
      <c r="A296" t="s">
        <v>915</v>
      </c>
      <c r="B296" t="s">
        <v>94</v>
      </c>
      <c r="C296" s="1">
        <v>44843</v>
      </c>
      <c r="D296" s="1">
        <v>44887</v>
      </c>
      <c r="H296" t="s">
        <v>78</v>
      </c>
      <c r="I296" t="str">
        <f>"LEON GUERRERO "</f>
        <v xml:space="preserve">LEON GUERRERO </v>
      </c>
      <c r="J296" t="str">
        <f>"BERTHA "</f>
        <v xml:space="preserve">BERTHA </v>
      </c>
      <c r="K296" t="str">
        <f>"CAMACHO "</f>
        <v xml:space="preserve">CAMACHO </v>
      </c>
      <c r="L296" t="str">
        <f>"OPERATIONS DIRECTOR "</f>
        <v xml:space="preserve">OPERATIONS DIRECTOR </v>
      </c>
      <c r="M296" t="str">
        <f>"P.O BOX 502370"</f>
        <v>P.O BOX 502370</v>
      </c>
      <c r="N296" t="str">
        <f>""</f>
        <v/>
      </c>
      <c r="O296" t="str">
        <f>"SAIPAN "</f>
        <v xml:space="preserve">SAIPAN </v>
      </c>
      <c r="P296" t="str">
        <f t="shared" si="186"/>
        <v>MP</v>
      </c>
      <c r="Q296" s="4" t="str">
        <f t="shared" si="187"/>
        <v>96950</v>
      </c>
      <c r="R296" t="str">
        <f t="shared" si="164"/>
        <v>UNITED STATES OF AMERICA</v>
      </c>
      <c r="S296" t="str">
        <f>""</f>
        <v/>
      </c>
      <c r="T296" s="5" t="str">
        <f>"16702861947"</f>
        <v>16702861947</v>
      </c>
      <c r="U296" t="str">
        <f>""</f>
        <v/>
      </c>
      <c r="V296" s="5" t="str">
        <f>""</f>
        <v/>
      </c>
      <c r="W296" t="str">
        <f>"bclg.mri@gmail.com"</f>
        <v>bclg.mri@gmail.com</v>
      </c>
      <c r="X296" t="str">
        <f>"MARIANAS STAFFING SOLUTIONS, INC. "</f>
        <v xml:space="preserve">MARIANAS STAFFING SOLUTIONS, INC. </v>
      </c>
      <c r="Y296" t="str">
        <f>""</f>
        <v/>
      </c>
      <c r="Z296" t="str">
        <f>"P.O BOX 502370"</f>
        <v>P.O BOX 502370</v>
      </c>
      <c r="AA296" t="str">
        <f>""</f>
        <v/>
      </c>
      <c r="AB296" t="str">
        <f>"SAIPAN "</f>
        <v xml:space="preserve">SAIPAN </v>
      </c>
      <c r="AC296" t="str">
        <f t="shared" si="188"/>
        <v>MP</v>
      </c>
      <c r="AD296" t="str">
        <f t="shared" si="189"/>
        <v>96950</v>
      </c>
      <c r="AE296" t="str">
        <f t="shared" si="166"/>
        <v>UNITED STATES OF AMERICA</v>
      </c>
      <c r="AF296" t="str">
        <f>""</f>
        <v/>
      </c>
      <c r="AG296" s="4" t="str">
        <f>"16702861947"</f>
        <v>16702861947</v>
      </c>
      <c r="AH296" t="str">
        <f>""</f>
        <v/>
      </c>
      <c r="AI296" t="str">
        <f>"561311"</f>
        <v>561311</v>
      </c>
      <c r="AJ296" t="s">
        <v>79</v>
      </c>
      <c r="AK296" t="s">
        <v>79</v>
      </c>
      <c r="AL296" t="s">
        <v>80</v>
      </c>
      <c r="AM296" t="s">
        <v>79</v>
      </c>
      <c r="AP296" t="str">
        <f>"GENERAL MAINTENANCE SUPERVISOR"</f>
        <v>GENERAL MAINTENANCE SUPERVISOR</v>
      </c>
      <c r="AQ296" t="str">
        <f>"49-9071.00"</f>
        <v>49-9071.00</v>
      </c>
      <c r="AR296" t="str">
        <f>"Maintenance and Repair Workers, General"</f>
        <v>Maintenance and Repair Workers, General</v>
      </c>
      <c r="AS296" t="str">
        <f>"ENGINEERING MANAGER "</f>
        <v xml:space="preserve">ENGINEERING MANAGER </v>
      </c>
      <c r="AT296" t="s">
        <v>82</v>
      </c>
      <c r="AU296" t="str">
        <f>"4"</f>
        <v>4</v>
      </c>
      <c r="AV296" t="str">
        <f>"Subordinate"</f>
        <v>Subordinate</v>
      </c>
      <c r="AW296" t="s">
        <v>79</v>
      </c>
      <c r="AX296" t="str">
        <f>""</f>
        <v/>
      </c>
      <c r="AY296" t="s">
        <v>84</v>
      </c>
      <c r="BA296" t="s">
        <v>80</v>
      </c>
      <c r="BB296" t="s">
        <v>79</v>
      </c>
      <c r="BD296" t="s">
        <v>79</v>
      </c>
      <c r="BG296" t="s">
        <v>82</v>
      </c>
      <c r="BH296">
        <v>24</v>
      </c>
      <c r="BI296" t="s">
        <v>916</v>
      </c>
      <c r="BJ296" s="2" t="s">
        <v>917</v>
      </c>
      <c r="BK296" t="str">
        <f>"SAN ANTONIO VILLAGE "</f>
        <v xml:space="preserve">SAN ANTONIO VILLAGE </v>
      </c>
      <c r="BL296" t="str">
        <f>""</f>
        <v/>
      </c>
      <c r="BM296" t="str">
        <f>"SAIPAN "</f>
        <v xml:space="preserve">SAIPAN </v>
      </c>
      <c r="BO296" t="s">
        <v>83</v>
      </c>
      <c r="BP296" s="4" t="str">
        <f t="shared" si="190"/>
        <v>96950</v>
      </c>
      <c r="BQ296" t="s">
        <v>82</v>
      </c>
      <c r="BR296" t="str">
        <f>"53-1042.00"</f>
        <v>53-1042.00</v>
      </c>
      <c r="BS296" t="s">
        <v>918</v>
      </c>
      <c r="BT296" s="3">
        <v>14.34</v>
      </c>
      <c r="BU296" t="s">
        <v>80</v>
      </c>
      <c r="BV296" t="s">
        <v>90</v>
      </c>
      <c r="BW296" t="s">
        <v>92</v>
      </c>
      <c r="BZ296" s="1">
        <v>45107</v>
      </c>
    </row>
    <row r="297" spans="1:78" ht="15" customHeight="1" x14ac:dyDescent="0.25">
      <c r="A297" t="s">
        <v>792</v>
      </c>
      <c r="B297" t="s">
        <v>94</v>
      </c>
      <c r="C297" s="1">
        <v>44838</v>
      </c>
      <c r="D297" s="1">
        <v>44887</v>
      </c>
      <c r="H297" t="s">
        <v>78</v>
      </c>
      <c r="I297" t="str">
        <f>"MARFEGA"</f>
        <v>MARFEGA</v>
      </c>
      <c r="J297" t="str">
        <f>"NORMA"</f>
        <v>NORMA</v>
      </c>
      <c r="K297" t="str">
        <f>"MARILAG"</f>
        <v>MARILAG</v>
      </c>
      <c r="L297" t="str">
        <f>"OWNER"</f>
        <v>OWNER</v>
      </c>
      <c r="M297" t="str">
        <f>"TANDUKI DRIVE, DANDAN VILLAGE"</f>
        <v>TANDUKI DRIVE, DANDAN VILLAGE</v>
      </c>
      <c r="N297" t="str">
        <f>"P.O. BOX 502356"</f>
        <v>P.O. BOX 502356</v>
      </c>
      <c r="O297" t="str">
        <f>"SAIPAN"</f>
        <v>SAIPAN</v>
      </c>
      <c r="P297" t="str">
        <f t="shared" si="186"/>
        <v>MP</v>
      </c>
      <c r="Q297" s="4" t="str">
        <f t="shared" si="187"/>
        <v>96950</v>
      </c>
      <c r="R297" t="str">
        <f t="shared" si="164"/>
        <v>UNITED STATES OF AMERICA</v>
      </c>
      <c r="S297" t="str">
        <f>"MP"</f>
        <v>MP</v>
      </c>
      <c r="T297" s="5" t="str">
        <f>"16702343418"</f>
        <v>16702343418</v>
      </c>
      <c r="U297" t="str">
        <f>""</f>
        <v/>
      </c>
      <c r="V297" s="5" t="str">
        <f>""</f>
        <v/>
      </c>
      <c r="W297" t="str">
        <f>"islandereprocess@yahoo.com"</f>
        <v>islandereprocess@yahoo.com</v>
      </c>
      <c r="X297" t="str">
        <f>"NORMA M MARFEGA"</f>
        <v>NORMA M MARFEGA</v>
      </c>
      <c r="Y297" t="str">
        <f>""</f>
        <v/>
      </c>
      <c r="Z297" t="str">
        <f>"TANDUKI DRIVE, DANDAN VILLAGE"</f>
        <v>TANDUKI DRIVE, DANDAN VILLAGE</v>
      </c>
      <c r="AA297" t="str">
        <f>"P.O. BOX 502356"</f>
        <v>P.O. BOX 502356</v>
      </c>
      <c r="AB297" t="str">
        <f>"SAIPAN"</f>
        <v>SAIPAN</v>
      </c>
      <c r="AC297" t="str">
        <f t="shared" si="188"/>
        <v>MP</v>
      </c>
      <c r="AD297" t="str">
        <f t="shared" si="189"/>
        <v>96950</v>
      </c>
      <c r="AE297" t="str">
        <f t="shared" si="166"/>
        <v>UNITED STATES OF AMERICA</v>
      </c>
      <c r="AF297" t="str">
        <f>"MP"</f>
        <v>MP</v>
      </c>
      <c r="AG297" s="4" t="str">
        <f>"16702343418"</f>
        <v>16702343418</v>
      </c>
      <c r="AH297" t="str">
        <f>""</f>
        <v/>
      </c>
      <c r="AI297" t="str">
        <f>"814110"</f>
        <v>814110</v>
      </c>
      <c r="AJ297" t="s">
        <v>79</v>
      </c>
      <c r="AK297" t="s">
        <v>79</v>
      </c>
      <c r="AL297" t="s">
        <v>80</v>
      </c>
      <c r="AM297" t="s">
        <v>79</v>
      </c>
      <c r="AP297" t="str">
        <f>"MAIDS AND HOUSEHOLD WORKER"</f>
        <v>MAIDS AND HOUSEHOLD WORKER</v>
      </c>
      <c r="AQ297" t="str">
        <f>"35-2013.00"</f>
        <v>35-2013.00</v>
      </c>
      <c r="AR297" t="str">
        <f>"Cooks, Private Household"</f>
        <v>Cooks, Private Household</v>
      </c>
      <c r="AS297" t="str">
        <f>"OWNER"</f>
        <v>OWNER</v>
      </c>
      <c r="AT297" t="s">
        <v>79</v>
      </c>
      <c r="AU297" t="str">
        <f>""</f>
        <v/>
      </c>
      <c r="AV297" t="str">
        <f>""</f>
        <v/>
      </c>
      <c r="AW297" t="s">
        <v>79</v>
      </c>
      <c r="AX297" t="str">
        <f>""</f>
        <v/>
      </c>
      <c r="AY297" t="s">
        <v>84</v>
      </c>
      <c r="BA297" t="s">
        <v>80</v>
      </c>
      <c r="BB297" t="s">
        <v>79</v>
      </c>
      <c r="BD297" t="s">
        <v>79</v>
      </c>
      <c r="BG297" t="s">
        <v>82</v>
      </c>
      <c r="BH297">
        <v>12</v>
      </c>
      <c r="BI297" t="s">
        <v>793</v>
      </c>
      <c r="BJ297" t="s">
        <v>794</v>
      </c>
      <c r="BK297" t="str">
        <f>"TANDUKI DRIVE, DANDAN VILLAGE"</f>
        <v>TANDUKI DRIVE, DANDAN VILLAGE</v>
      </c>
      <c r="BL297" t="str">
        <f>"P.O. BOX 502356"</f>
        <v>P.O. BOX 502356</v>
      </c>
      <c r="BM297" t="str">
        <f>"SAIPAN"</f>
        <v>SAIPAN</v>
      </c>
      <c r="BO297" t="s">
        <v>83</v>
      </c>
      <c r="BP297" s="4" t="str">
        <f t="shared" si="190"/>
        <v>96950</v>
      </c>
      <c r="BQ297" t="s">
        <v>79</v>
      </c>
      <c r="BR297" t="str">
        <f>"35-2013.00"</f>
        <v>35-2013.00</v>
      </c>
      <c r="BS297" t="s">
        <v>795</v>
      </c>
      <c r="BT297" s="3">
        <v>14.14</v>
      </c>
      <c r="BU297" t="s">
        <v>80</v>
      </c>
      <c r="BV297" t="s">
        <v>90</v>
      </c>
      <c r="BW297" t="s">
        <v>265</v>
      </c>
      <c r="BZ297" s="1">
        <v>45107</v>
      </c>
    </row>
    <row r="298" spans="1:78" ht="15" customHeight="1" x14ac:dyDescent="0.25">
      <c r="A298" t="s">
        <v>605</v>
      </c>
      <c r="B298" t="s">
        <v>94</v>
      </c>
      <c r="C298" s="1">
        <v>44829</v>
      </c>
      <c r="D298" s="1">
        <v>44887</v>
      </c>
      <c r="H298" t="s">
        <v>78</v>
      </c>
      <c r="I298" t="str">
        <f>"Malin"</f>
        <v>Malin</v>
      </c>
      <c r="J298" t="str">
        <f>"Christopher "</f>
        <v xml:space="preserve">Christopher </v>
      </c>
      <c r="K298" t="str">
        <f>"Scott"</f>
        <v>Scott</v>
      </c>
      <c r="L298" t="str">
        <f>"Manager"</f>
        <v>Manager</v>
      </c>
      <c r="M298" t="str">
        <f>"P O BOX 503053"</f>
        <v>P O BOX 503053</v>
      </c>
      <c r="N298" t="str">
        <f>""</f>
        <v/>
      </c>
      <c r="O298" t="str">
        <f>"SAIPAN"</f>
        <v>SAIPAN</v>
      </c>
      <c r="P298" t="str">
        <f t="shared" si="186"/>
        <v>MP</v>
      </c>
      <c r="Q298" s="4" t="str">
        <f t="shared" si="187"/>
        <v>96950</v>
      </c>
      <c r="R298" t="str">
        <f t="shared" si="164"/>
        <v>UNITED STATES OF AMERICA</v>
      </c>
      <c r="S298" t="str">
        <f>""</f>
        <v/>
      </c>
      <c r="T298" s="5" t="str">
        <f>"16702357635"</f>
        <v>16702357635</v>
      </c>
      <c r="U298" t="str">
        <f>""</f>
        <v/>
      </c>
      <c r="V298" s="5" t="str">
        <f>""</f>
        <v/>
      </c>
      <c r="W298" t="str">
        <f>"smellcsaipan@gmail.com"</f>
        <v>smellcsaipan@gmail.com</v>
      </c>
      <c r="X298" t="str">
        <f>"SM Enterprises LLC"</f>
        <v>SM Enterprises LLC</v>
      </c>
      <c r="Y298" t="str">
        <f>""</f>
        <v/>
      </c>
      <c r="Z298" t="str">
        <f>"P.O Box 503053 "</f>
        <v xml:space="preserve">P.O Box 503053 </v>
      </c>
      <c r="AA298" t="str">
        <f>""</f>
        <v/>
      </c>
      <c r="AB298" t="str">
        <f>"Saipan"</f>
        <v>Saipan</v>
      </c>
      <c r="AC298" t="str">
        <f t="shared" si="188"/>
        <v>MP</v>
      </c>
      <c r="AD298" t="str">
        <f t="shared" si="189"/>
        <v>96950</v>
      </c>
      <c r="AE298" t="str">
        <f t="shared" si="166"/>
        <v>UNITED STATES OF AMERICA</v>
      </c>
      <c r="AF298" t="str">
        <f>""</f>
        <v/>
      </c>
      <c r="AG298" s="4" t="str">
        <f>"16702357635"</f>
        <v>16702357635</v>
      </c>
      <c r="AH298" t="str">
        <f>""</f>
        <v/>
      </c>
      <c r="AI298" t="str">
        <f>"5324"</f>
        <v>5324</v>
      </c>
      <c r="AJ298" t="s">
        <v>79</v>
      </c>
      <c r="AK298" t="s">
        <v>79</v>
      </c>
      <c r="AL298" t="s">
        <v>80</v>
      </c>
      <c r="AM298" t="s">
        <v>79</v>
      </c>
      <c r="AP298" t="str">
        <f>"Heavy and Tractor-Trailer Truck Drivers"</f>
        <v>Heavy and Tractor-Trailer Truck Drivers</v>
      </c>
      <c r="AQ298" t="str">
        <f>"53-3032.00"</f>
        <v>53-3032.00</v>
      </c>
      <c r="AR298" t="str">
        <f>"Heavy and Tractor-Trailer Truck Drivers"</f>
        <v>Heavy and Tractor-Trailer Truck Drivers</v>
      </c>
      <c r="AS298" t="str">
        <f>"None"</f>
        <v>None</v>
      </c>
      <c r="AT298" t="s">
        <v>79</v>
      </c>
      <c r="AU298" t="str">
        <f>""</f>
        <v/>
      </c>
      <c r="AV298" t="str">
        <f>""</f>
        <v/>
      </c>
      <c r="AW298" t="s">
        <v>82</v>
      </c>
      <c r="AX298" t="str">
        <f>"DRIVE VEHICLE WITH IN THE REQUIRED AREA REQUESTED BY THE CUSTOMERS OR WITH IN CNMI COMMERCIAL AND RESIDENTIAL AREA."</f>
        <v>DRIVE VEHICLE WITH IN THE REQUIRED AREA REQUESTED BY THE CUSTOMERS OR WITH IN CNMI COMMERCIAL AND RESIDENTIAL AREA.</v>
      </c>
      <c r="AY298" t="s">
        <v>84</v>
      </c>
      <c r="BA298" t="s">
        <v>606</v>
      </c>
      <c r="BB298" t="s">
        <v>79</v>
      </c>
      <c r="BD298" t="s">
        <v>79</v>
      </c>
      <c r="BG298" t="s">
        <v>82</v>
      </c>
      <c r="BH298">
        <v>6</v>
      </c>
      <c r="BI298" t="s">
        <v>607</v>
      </c>
      <c r="BJ298" s="2" t="s">
        <v>608</v>
      </c>
      <c r="BK298" t="str">
        <f>"CHALAN LAU LAU"</f>
        <v>CHALAN LAU LAU</v>
      </c>
      <c r="BL298" t="str">
        <f>""</f>
        <v/>
      </c>
      <c r="BM298" t="str">
        <f>"SAIPAN"</f>
        <v>SAIPAN</v>
      </c>
      <c r="BO298" t="s">
        <v>83</v>
      </c>
      <c r="BP298" s="4" t="str">
        <f t="shared" si="190"/>
        <v>96950</v>
      </c>
      <c r="BQ298" t="s">
        <v>79</v>
      </c>
      <c r="BR298" t="str">
        <f>"47-2073.00"</f>
        <v>47-2073.00</v>
      </c>
      <c r="BS298" t="s">
        <v>609</v>
      </c>
      <c r="BT298" s="3">
        <v>10.23</v>
      </c>
      <c r="BU298" t="s">
        <v>80</v>
      </c>
      <c r="BV298" t="s">
        <v>90</v>
      </c>
      <c r="BW298" t="s">
        <v>92</v>
      </c>
      <c r="BY298" s="2" t="s">
        <v>610</v>
      </c>
      <c r="BZ298" s="1">
        <v>45107</v>
      </c>
    </row>
    <row r="299" spans="1:78" ht="15" customHeight="1" x14ac:dyDescent="0.25">
      <c r="A299" t="s">
        <v>883</v>
      </c>
      <c r="B299" t="s">
        <v>94</v>
      </c>
      <c r="C299" s="1">
        <v>44843</v>
      </c>
      <c r="D299" s="1">
        <v>44883</v>
      </c>
      <c r="H299" t="s">
        <v>78</v>
      </c>
      <c r="I299" t="str">
        <f>"MACALINAO"</f>
        <v>MACALINAO</v>
      </c>
      <c r="J299" t="str">
        <f>"CENDY"</f>
        <v>CENDY</v>
      </c>
      <c r="K299" t="str">
        <f>"ATRERO"</f>
        <v>ATRERO</v>
      </c>
      <c r="L299" t="str">
        <f>"ADMINSTRATIVE ASSISTANT"</f>
        <v>ADMINSTRATIVE ASSISTANT</v>
      </c>
      <c r="M299" t="str">
        <f>"P O BOX 500703"</f>
        <v>P O BOX 500703</v>
      </c>
      <c r="N299" t="str">
        <f>"UFA ST LOWER BASE"</f>
        <v>UFA ST LOWER BASE</v>
      </c>
      <c r="O299" t="str">
        <f>"SAIPAN"</f>
        <v>SAIPAN</v>
      </c>
      <c r="P299" t="str">
        <f t="shared" si="186"/>
        <v>MP</v>
      </c>
      <c r="Q299" s="4" t="str">
        <f t="shared" si="187"/>
        <v>96950</v>
      </c>
      <c r="R299" t="str">
        <f t="shared" si="164"/>
        <v>UNITED STATES OF AMERICA</v>
      </c>
      <c r="S299" t="str">
        <f>"NONE"</f>
        <v>NONE</v>
      </c>
      <c r="T299" s="5" t="str">
        <f>"16703227461"</f>
        <v>16703227461</v>
      </c>
      <c r="U299" t="str">
        <f>""</f>
        <v/>
      </c>
      <c r="V299" s="5" t="str">
        <f>""</f>
        <v/>
      </c>
      <c r="W299" t="str">
        <f>"unitytradeservice@yahoo.com"</f>
        <v>unitytradeservice@yahoo.com</v>
      </c>
      <c r="X299" t="str">
        <f>"UNITY TRADE SERVICES INC"</f>
        <v>UNITY TRADE SERVICES INC</v>
      </c>
      <c r="Y299" t="str">
        <f>"METAL REFILLING INDUSTRIAL GASES &amp; FIRE EXTINGUISHER"</f>
        <v>METAL REFILLING INDUSTRIAL GASES &amp; FIRE EXTINGUISHER</v>
      </c>
      <c r="Z299" t="str">
        <f>"P O BOX 500703"</f>
        <v>P O BOX 500703</v>
      </c>
      <c r="AA299" t="str">
        <f>"UFA ST LOWER BASE"</f>
        <v>UFA ST LOWER BASE</v>
      </c>
      <c r="AB299" t="str">
        <f>"SAIPAN"</f>
        <v>SAIPAN</v>
      </c>
      <c r="AC299" t="str">
        <f t="shared" si="188"/>
        <v>MP</v>
      </c>
      <c r="AD299" t="str">
        <f t="shared" si="189"/>
        <v>96950</v>
      </c>
      <c r="AE299" t="str">
        <f t="shared" si="166"/>
        <v>UNITED STATES OF AMERICA</v>
      </c>
      <c r="AF299" t="str">
        <f>"NONE"</f>
        <v>NONE</v>
      </c>
      <c r="AG299" s="4" t="str">
        <f>"16703227461"</f>
        <v>16703227461</v>
      </c>
      <c r="AH299" t="str">
        <f>""</f>
        <v/>
      </c>
      <c r="AI299" t="str">
        <f>"236220"</f>
        <v>236220</v>
      </c>
      <c r="AJ299" t="s">
        <v>79</v>
      </c>
      <c r="AK299" t="s">
        <v>79</v>
      </c>
      <c r="AL299" t="s">
        <v>80</v>
      </c>
      <c r="AM299" t="s">
        <v>79</v>
      </c>
      <c r="AP299" t="str">
        <f>"STRUCTURAL METAL FABRICATORS AND FITTERS"</f>
        <v>STRUCTURAL METAL FABRICATORS AND FITTERS</v>
      </c>
      <c r="AQ299" t="str">
        <f>""</f>
        <v/>
      </c>
      <c r="AR299" t="str">
        <f>""</f>
        <v/>
      </c>
      <c r="AS299" t="str">
        <f>"GENERAL MANAGER"</f>
        <v>GENERAL MANAGER</v>
      </c>
      <c r="AT299" t="s">
        <v>82</v>
      </c>
      <c r="AU299" t="str">
        <f>"2"</f>
        <v>2</v>
      </c>
      <c r="AV299" t="str">
        <f>"Subordinate"</f>
        <v>Subordinate</v>
      </c>
      <c r="AW299" t="s">
        <v>79</v>
      </c>
      <c r="AX299" t="str">
        <f>""</f>
        <v/>
      </c>
      <c r="AY299" t="s">
        <v>84</v>
      </c>
      <c r="BA299" t="s">
        <v>80</v>
      </c>
      <c r="BB299" t="s">
        <v>79</v>
      </c>
      <c r="BD299" t="s">
        <v>79</v>
      </c>
      <c r="BG299" t="s">
        <v>82</v>
      </c>
      <c r="BH299">
        <v>12</v>
      </c>
      <c r="BI299" t="s">
        <v>115</v>
      </c>
      <c r="BJ299" t="s">
        <v>884</v>
      </c>
      <c r="BK299" t="str">
        <f>"UFA STRET LOWER BASE"</f>
        <v>UFA STRET LOWER BASE</v>
      </c>
      <c r="BL299" t="str">
        <f>""</f>
        <v/>
      </c>
      <c r="BM299" t="str">
        <f>"SAIPAN"</f>
        <v>SAIPAN</v>
      </c>
      <c r="BO299" t="s">
        <v>83</v>
      </c>
      <c r="BP299" s="4" t="str">
        <f t="shared" si="190"/>
        <v>96950</v>
      </c>
      <c r="BQ299" t="s">
        <v>79</v>
      </c>
      <c r="BR299" t="str">
        <f>"51-2041.00"</f>
        <v>51-2041.00</v>
      </c>
      <c r="BS299" t="s">
        <v>885</v>
      </c>
      <c r="BT299" s="3">
        <v>14.95</v>
      </c>
      <c r="BU299" t="s">
        <v>80</v>
      </c>
      <c r="BV299" t="s">
        <v>90</v>
      </c>
      <c r="BW299" t="s">
        <v>265</v>
      </c>
      <c r="BZ299" s="1">
        <v>45107</v>
      </c>
    </row>
    <row r="300" spans="1:78" ht="15" customHeight="1" x14ac:dyDescent="0.25">
      <c r="A300" t="s">
        <v>886</v>
      </c>
      <c r="B300" t="s">
        <v>94</v>
      </c>
      <c r="C300" s="1">
        <v>44843</v>
      </c>
      <c r="D300" s="1">
        <v>44883</v>
      </c>
      <c r="H300" t="s">
        <v>78</v>
      </c>
      <c r="I300" t="str">
        <f>"ALFRED"</f>
        <v>ALFRED</v>
      </c>
      <c r="J300" t="str">
        <f>"LEAH"</f>
        <v>LEAH</v>
      </c>
      <c r="K300" t="str">
        <f>"REGANIT"</f>
        <v>REGANIT</v>
      </c>
      <c r="L300" t="str">
        <f>"ACCOUNTANT"</f>
        <v>ACCOUNTANT</v>
      </c>
      <c r="M300" t="str">
        <f>"PO BOX 500756"</f>
        <v>PO BOX 500756</v>
      </c>
      <c r="N300" t="str">
        <f>""</f>
        <v/>
      </c>
      <c r="O300" t="str">
        <f>"SAIPAN"</f>
        <v>SAIPAN</v>
      </c>
      <c r="P300" t="str">
        <f t="shared" si="186"/>
        <v>MP</v>
      </c>
      <c r="Q300" s="4" t="str">
        <f t="shared" si="187"/>
        <v>96950</v>
      </c>
      <c r="R300" t="str">
        <f t="shared" si="164"/>
        <v>UNITED STATES OF AMERICA</v>
      </c>
      <c r="S300" t="str">
        <f>""</f>
        <v/>
      </c>
      <c r="T300" s="5" t="str">
        <f>"16702875435"</f>
        <v>16702875435</v>
      </c>
      <c r="U300" t="str">
        <f>""</f>
        <v/>
      </c>
      <c r="V300" s="5" t="str">
        <f>""</f>
        <v/>
      </c>
      <c r="W300" t="str">
        <f>"leah.saipan@gmail.com"</f>
        <v>leah.saipan@gmail.com</v>
      </c>
      <c r="X300" t="str">
        <f>"J LEE DEVELOPMENT CORPORATION"</f>
        <v>J LEE DEVELOPMENT CORPORATION</v>
      </c>
      <c r="Y300" t="str">
        <f>"THE SUMMIT CONDOMINIUM &amp; HOTEL"</f>
        <v>THE SUMMIT CONDOMINIUM &amp; HOTEL</v>
      </c>
      <c r="Z300" t="str">
        <f>"PO BOX 500756"</f>
        <v>PO BOX 500756</v>
      </c>
      <c r="AA300" t="str">
        <f>""</f>
        <v/>
      </c>
      <c r="AB300" t="str">
        <f>"SAIPAN"</f>
        <v>SAIPAN</v>
      </c>
      <c r="AC300" t="str">
        <f t="shared" si="188"/>
        <v>MP</v>
      </c>
      <c r="AD300" t="str">
        <f t="shared" si="189"/>
        <v>96950</v>
      </c>
      <c r="AE300" t="str">
        <f t="shared" si="166"/>
        <v>UNITED STATES OF AMERICA</v>
      </c>
      <c r="AF300" t="str">
        <f>""</f>
        <v/>
      </c>
      <c r="AG300" s="4" t="str">
        <f>"16702333200"</f>
        <v>16702333200</v>
      </c>
      <c r="AH300" t="str">
        <f>""</f>
        <v/>
      </c>
      <c r="AI300" t="str">
        <f>"53111"</f>
        <v>53111</v>
      </c>
      <c r="AJ300" t="s">
        <v>79</v>
      </c>
      <c r="AK300" t="s">
        <v>79</v>
      </c>
      <c r="AL300" t="s">
        <v>80</v>
      </c>
      <c r="AM300" t="s">
        <v>79</v>
      </c>
      <c r="AP300" t="str">
        <f>"COMMERCIAL CLEANER"</f>
        <v>COMMERCIAL CLEANER</v>
      </c>
      <c r="AQ300" t="str">
        <f>"37-2011.00"</f>
        <v>37-2011.00</v>
      </c>
      <c r="AR300" t="str">
        <f>"Janitors and Cleaners, Except Maids and Housekeeping Cleaners"</f>
        <v>Janitors and Cleaners, Except Maids and Housekeeping Cleaners</v>
      </c>
      <c r="AS300" t="str">
        <f>"MANAGER"</f>
        <v>MANAGER</v>
      </c>
      <c r="AT300" t="s">
        <v>79</v>
      </c>
      <c r="AU300" t="str">
        <f>""</f>
        <v/>
      </c>
      <c r="AV300" t="str">
        <f>""</f>
        <v/>
      </c>
      <c r="AW300" t="s">
        <v>79</v>
      </c>
      <c r="AX300" t="str">
        <f>""</f>
        <v/>
      </c>
      <c r="AY300" t="s">
        <v>84</v>
      </c>
      <c r="BA300" t="s">
        <v>115</v>
      </c>
      <c r="BB300" t="s">
        <v>79</v>
      </c>
      <c r="BD300" t="s">
        <v>79</v>
      </c>
      <c r="BG300" t="s">
        <v>82</v>
      </c>
      <c r="BH300">
        <v>6</v>
      </c>
      <c r="BI300" t="s">
        <v>887</v>
      </c>
      <c r="BJ300" t="s">
        <v>888</v>
      </c>
      <c r="BK300" t="str">
        <f>"11190 FITME PL NAVYHILL"</f>
        <v>11190 FITME PL NAVYHILL</v>
      </c>
      <c r="BL300" t="str">
        <f>""</f>
        <v/>
      </c>
      <c r="BM300" t="str">
        <f>"SAIPAN"</f>
        <v>SAIPAN</v>
      </c>
      <c r="BO300" t="s">
        <v>83</v>
      </c>
      <c r="BP300" s="4" t="str">
        <f t="shared" si="190"/>
        <v>96950</v>
      </c>
      <c r="BQ300" t="s">
        <v>79</v>
      </c>
      <c r="BR300" t="str">
        <f>"37-2011.00"</f>
        <v>37-2011.00</v>
      </c>
      <c r="BS300" t="s">
        <v>313</v>
      </c>
      <c r="BT300" s="3">
        <v>7.99</v>
      </c>
      <c r="BU300" t="s">
        <v>80</v>
      </c>
      <c r="BV300" t="s">
        <v>90</v>
      </c>
      <c r="BW300" t="s">
        <v>92</v>
      </c>
      <c r="BZ300" s="1">
        <v>45107</v>
      </c>
    </row>
    <row r="301" spans="1:78" ht="15" customHeight="1" x14ac:dyDescent="0.25">
      <c r="A301" t="s">
        <v>889</v>
      </c>
      <c r="B301" t="s">
        <v>94</v>
      </c>
      <c r="C301" s="1">
        <v>44843</v>
      </c>
      <c r="D301" s="1">
        <v>44883</v>
      </c>
      <c r="H301" t="s">
        <v>78</v>
      </c>
      <c r="I301" t="str">
        <f>"LEON GUERRERO"</f>
        <v>LEON GUERRERO</v>
      </c>
      <c r="J301" t="str">
        <f>"BERTHA "</f>
        <v xml:space="preserve">BERTHA </v>
      </c>
      <c r="K301" t="str">
        <f>"CAMACHO"</f>
        <v>CAMACHO</v>
      </c>
      <c r="L301" t="str">
        <f>"OPERATIONS DIRECTOR "</f>
        <v xml:space="preserve">OPERATIONS DIRECTOR </v>
      </c>
      <c r="M301" t="str">
        <f t="shared" ref="M301:M307" si="191">"P.O BOX 502370"</f>
        <v>P.O BOX 502370</v>
      </c>
      <c r="N301" t="str">
        <f>""</f>
        <v/>
      </c>
      <c r="O301" t="str">
        <f t="shared" ref="O301:O307" si="192">"SAIPAN "</f>
        <v xml:space="preserve">SAIPAN </v>
      </c>
      <c r="P301" t="str">
        <f t="shared" si="186"/>
        <v>MP</v>
      </c>
      <c r="Q301" s="4" t="str">
        <f t="shared" si="187"/>
        <v>96950</v>
      </c>
      <c r="R301" t="str">
        <f t="shared" si="164"/>
        <v>UNITED STATES OF AMERICA</v>
      </c>
      <c r="S301" t="str">
        <f>""</f>
        <v/>
      </c>
      <c r="T301" s="5" t="str">
        <f t="shared" ref="T301:T307" si="193">"16702861947"</f>
        <v>16702861947</v>
      </c>
      <c r="U301" t="str">
        <f>""</f>
        <v/>
      </c>
      <c r="V301" s="5" t="str">
        <f>""</f>
        <v/>
      </c>
      <c r="W301" t="str">
        <f t="shared" ref="W301:W307" si="194">"bclg.mri@gmail.com"</f>
        <v>bclg.mri@gmail.com</v>
      </c>
      <c r="X301" t="str">
        <f t="shared" ref="X301:X307" si="195">"MARIANAS STAFFING SOLUTIONS, INC. "</f>
        <v xml:space="preserve">MARIANAS STAFFING SOLUTIONS, INC. </v>
      </c>
      <c r="Y301" t="str">
        <f>""</f>
        <v/>
      </c>
      <c r="Z301" t="str">
        <f>"P.O BOX 502370"</f>
        <v>P.O BOX 502370</v>
      </c>
      <c r="AA301" t="str">
        <f>""</f>
        <v/>
      </c>
      <c r="AB301" t="str">
        <f t="shared" ref="AB301:AB307" si="196">"SAIPAN "</f>
        <v xml:space="preserve">SAIPAN </v>
      </c>
      <c r="AC301" t="str">
        <f t="shared" si="188"/>
        <v>MP</v>
      </c>
      <c r="AD301" t="str">
        <f t="shared" si="189"/>
        <v>96950</v>
      </c>
      <c r="AE301" t="str">
        <f t="shared" si="166"/>
        <v>UNITED STATES OF AMERICA</v>
      </c>
      <c r="AF301" t="str">
        <f>""</f>
        <v/>
      </c>
      <c r="AG301" s="4" t="str">
        <f t="shared" ref="AG301:AG307" si="197">"16702861947"</f>
        <v>16702861947</v>
      </c>
      <c r="AH301" t="str">
        <f>""</f>
        <v/>
      </c>
      <c r="AI301" t="str">
        <f t="shared" ref="AI301:AI307" si="198">"561311"</f>
        <v>561311</v>
      </c>
      <c r="AJ301" t="s">
        <v>79</v>
      </c>
      <c r="AK301" t="s">
        <v>79</v>
      </c>
      <c r="AL301" t="s">
        <v>80</v>
      </c>
      <c r="AM301" t="s">
        <v>79</v>
      </c>
      <c r="AP301" t="str">
        <f>"WAITER/WAITRESS"</f>
        <v>WAITER/WAITRESS</v>
      </c>
      <c r="AQ301" t="str">
        <f>"35-3031.00"</f>
        <v>35-3031.00</v>
      </c>
      <c r="AR301" t="str">
        <f>"Waiters and Waitresses"</f>
        <v>Waiters and Waitresses</v>
      </c>
      <c r="AS301" t="str">
        <f>"RESTAURANT SUPERVISOR"</f>
        <v>RESTAURANT SUPERVISOR</v>
      </c>
      <c r="AT301" t="s">
        <v>79</v>
      </c>
      <c r="AU301" t="str">
        <f>""</f>
        <v/>
      </c>
      <c r="AV301" t="str">
        <f>""</f>
        <v/>
      </c>
      <c r="AW301" t="s">
        <v>79</v>
      </c>
      <c r="AX301" t="str">
        <f>""</f>
        <v/>
      </c>
      <c r="AY301" t="s">
        <v>84</v>
      </c>
      <c r="BA301" t="s">
        <v>80</v>
      </c>
      <c r="BB301" t="s">
        <v>79</v>
      </c>
      <c r="BD301" t="s">
        <v>79</v>
      </c>
      <c r="BG301" t="s">
        <v>82</v>
      </c>
      <c r="BH301">
        <v>12</v>
      </c>
      <c r="BI301" t="s">
        <v>890</v>
      </c>
      <c r="BJ301" s="2" t="s">
        <v>891</v>
      </c>
      <c r="BK301" t="str">
        <f>"SAN ANTONIO VILLAGE"</f>
        <v>SAN ANTONIO VILLAGE</v>
      </c>
      <c r="BL301" t="str">
        <f>""</f>
        <v/>
      </c>
      <c r="BM301" t="str">
        <f>"SAIPAN "</f>
        <v xml:space="preserve">SAIPAN </v>
      </c>
      <c r="BO301" t="s">
        <v>83</v>
      </c>
      <c r="BP301" s="4" t="str">
        <f t="shared" si="190"/>
        <v>96950</v>
      </c>
      <c r="BQ301" t="s">
        <v>82</v>
      </c>
      <c r="BR301" t="str">
        <f>"35-3031.00"</f>
        <v>35-3031.00</v>
      </c>
      <c r="BS301" t="s">
        <v>761</v>
      </c>
      <c r="BT301" s="3">
        <v>8.17</v>
      </c>
      <c r="BU301" t="s">
        <v>80</v>
      </c>
      <c r="BV301" t="s">
        <v>90</v>
      </c>
      <c r="BW301" t="s">
        <v>92</v>
      </c>
      <c r="BZ301" s="1">
        <v>45107</v>
      </c>
    </row>
    <row r="302" spans="1:78" ht="15" customHeight="1" x14ac:dyDescent="0.25">
      <c r="A302" t="s">
        <v>892</v>
      </c>
      <c r="B302" t="s">
        <v>94</v>
      </c>
      <c r="C302" s="1">
        <v>44843</v>
      </c>
      <c r="D302" s="1">
        <v>44883</v>
      </c>
      <c r="H302" t="s">
        <v>78</v>
      </c>
      <c r="I302" t="str">
        <f>"LEON GUERRERO"</f>
        <v>LEON GUERRERO</v>
      </c>
      <c r="J302" t="str">
        <f>"BERTHA"</f>
        <v>BERTHA</v>
      </c>
      <c r="K302" t="str">
        <f>"CAMACHO"</f>
        <v>CAMACHO</v>
      </c>
      <c r="L302" t="str">
        <f>"OPERATIONS DIRECTOR"</f>
        <v>OPERATIONS DIRECTOR</v>
      </c>
      <c r="M302" t="str">
        <f t="shared" si="191"/>
        <v>P.O BOX 502370</v>
      </c>
      <c r="N302" t="str">
        <f>""</f>
        <v/>
      </c>
      <c r="O302" t="str">
        <f t="shared" si="192"/>
        <v xml:space="preserve">SAIPAN </v>
      </c>
      <c r="P302" t="str">
        <f t="shared" si="186"/>
        <v>MP</v>
      </c>
      <c r="Q302" s="4" t="str">
        <f t="shared" si="187"/>
        <v>96950</v>
      </c>
      <c r="R302" t="str">
        <f t="shared" si="164"/>
        <v>UNITED STATES OF AMERICA</v>
      </c>
      <c r="S302" t="str">
        <f>""</f>
        <v/>
      </c>
      <c r="T302" s="5" t="str">
        <f t="shared" si="193"/>
        <v>16702861947</v>
      </c>
      <c r="U302" t="str">
        <f>""</f>
        <v/>
      </c>
      <c r="V302" s="5" t="str">
        <f>""</f>
        <v/>
      </c>
      <c r="W302" t="str">
        <f t="shared" si="194"/>
        <v>bclg.mri@gmail.com</v>
      </c>
      <c r="X302" t="str">
        <f t="shared" si="195"/>
        <v xml:space="preserve">MARIANAS STAFFING SOLUTIONS, INC. </v>
      </c>
      <c r="Y302" t="str">
        <f>""</f>
        <v/>
      </c>
      <c r="Z302" t="str">
        <f>"P. O BOX 502370"</f>
        <v>P. O BOX 502370</v>
      </c>
      <c r="AA302" t="str">
        <f>""</f>
        <v/>
      </c>
      <c r="AB302" t="str">
        <f t="shared" si="196"/>
        <v xml:space="preserve">SAIPAN </v>
      </c>
      <c r="AC302" t="str">
        <f t="shared" si="188"/>
        <v>MP</v>
      </c>
      <c r="AD302" t="str">
        <f t="shared" si="189"/>
        <v>96950</v>
      </c>
      <c r="AE302" t="str">
        <f t="shared" si="166"/>
        <v>UNITED STATES OF AMERICA</v>
      </c>
      <c r="AF302" t="str">
        <f>""</f>
        <v/>
      </c>
      <c r="AG302" s="4" t="str">
        <f t="shared" si="197"/>
        <v>16702861947</v>
      </c>
      <c r="AH302" t="str">
        <f>""</f>
        <v/>
      </c>
      <c r="AI302" t="str">
        <f t="shared" si="198"/>
        <v>561311</v>
      </c>
      <c r="AJ302" t="s">
        <v>79</v>
      </c>
      <c r="AK302" t="s">
        <v>79</v>
      </c>
      <c r="AL302" t="s">
        <v>80</v>
      </c>
      <c r="AM302" t="s">
        <v>79</v>
      </c>
      <c r="AP302" t="str">
        <f>"ACCOUNTANT "</f>
        <v xml:space="preserve">ACCOUNTANT </v>
      </c>
      <c r="AQ302" t="str">
        <f>"13-2011.00"</f>
        <v>13-2011.00</v>
      </c>
      <c r="AR302" t="str">
        <f>"Accountants and Auditors"</f>
        <v>Accountants and Auditors</v>
      </c>
      <c r="AS302" t="str">
        <f>"ACCOUNTING SUPERVISOR"</f>
        <v>ACCOUNTING SUPERVISOR</v>
      </c>
      <c r="AT302" t="s">
        <v>79</v>
      </c>
      <c r="AU302" t="str">
        <f>""</f>
        <v/>
      </c>
      <c r="AV302" t="str">
        <f>""</f>
        <v/>
      </c>
      <c r="AW302" t="s">
        <v>79</v>
      </c>
      <c r="AX302" t="str">
        <f>""</f>
        <v/>
      </c>
      <c r="AY302" t="s">
        <v>95</v>
      </c>
      <c r="BA302" t="s">
        <v>893</v>
      </c>
      <c r="BB302" t="s">
        <v>79</v>
      </c>
      <c r="BD302" t="s">
        <v>79</v>
      </c>
      <c r="BG302" t="s">
        <v>82</v>
      </c>
      <c r="BH302">
        <v>48</v>
      </c>
      <c r="BI302" t="s">
        <v>894</v>
      </c>
      <c r="BJ302" t="e">
        <f>-DEMONSTRATE INTERMEDIATE TO ADVANCED SKILLS AND KNOWLEDGE OF EXCEL, AS WELL AS OTHER MICROSOFT OFFICE APPLICATIONS
-STRONG ANALYTICAL AND PROBLEM-SOLVING SKILLS
-EXPERIENCE WITH ACCOUNTING SOFTWARE (PEACHTREE, QUICKBOOKS)
-EXCELLENT INTERPERSONAL SKILLS TO COMMUNICATE EFFECTIVELY ACROSS THE ORGANIZATION
-THOROUGH KNOWLEDGE OF GENERAL LEDGER ACCOUNTING AND ACCOUNT RECONCILIATION
-HIGHLY DETAILED-ORIENTED.
-MUST BE FLEXIBLE TO WORK ALL SHIFTS (IF NEEDED), WEEKENDS AND HOLIDAYS.</f>
        <v>#NAME?</v>
      </c>
      <c r="BK302" t="str">
        <f>"SAN ANTONIO"</f>
        <v>SAN ANTONIO</v>
      </c>
      <c r="BL302" t="str">
        <f>""</f>
        <v/>
      </c>
      <c r="BM302" t="str">
        <f>"SAIPAN "</f>
        <v xml:space="preserve">SAIPAN </v>
      </c>
      <c r="BO302" t="s">
        <v>83</v>
      </c>
      <c r="BP302" s="4" t="str">
        <f t="shared" si="190"/>
        <v>96950</v>
      </c>
      <c r="BQ302" t="s">
        <v>82</v>
      </c>
      <c r="BR302" t="str">
        <f>"13-2011.00"</f>
        <v>13-2011.00</v>
      </c>
      <c r="BS302" t="s">
        <v>133</v>
      </c>
      <c r="BT302" s="3">
        <v>16.190000000000001</v>
      </c>
      <c r="BU302" t="s">
        <v>80</v>
      </c>
      <c r="BV302" t="s">
        <v>90</v>
      </c>
      <c r="BW302" t="s">
        <v>92</v>
      </c>
      <c r="BZ302" s="1">
        <v>45107</v>
      </c>
    </row>
    <row r="303" spans="1:78" ht="15" customHeight="1" x14ac:dyDescent="0.25">
      <c r="A303" t="s">
        <v>895</v>
      </c>
      <c r="B303" t="s">
        <v>94</v>
      </c>
      <c r="C303" s="1">
        <v>44843</v>
      </c>
      <c r="D303" s="1">
        <v>44883</v>
      </c>
      <c r="H303" t="s">
        <v>78</v>
      </c>
      <c r="I303" t="str">
        <f>"LEON GUERRERO"</f>
        <v>LEON GUERRERO</v>
      </c>
      <c r="J303" t="str">
        <f>"BERTHA "</f>
        <v xml:space="preserve">BERTHA </v>
      </c>
      <c r="K303" t="str">
        <f>"CAMACHO "</f>
        <v xml:space="preserve">CAMACHO </v>
      </c>
      <c r="L303" t="str">
        <f>"OPERATIONS DIRECTOR "</f>
        <v xml:space="preserve">OPERATIONS DIRECTOR </v>
      </c>
      <c r="M303" t="str">
        <f t="shared" si="191"/>
        <v>P.O BOX 502370</v>
      </c>
      <c r="N303" t="str">
        <f>""</f>
        <v/>
      </c>
      <c r="O303" t="str">
        <f t="shared" si="192"/>
        <v xml:space="preserve">SAIPAN </v>
      </c>
      <c r="P303" t="str">
        <f t="shared" si="186"/>
        <v>MP</v>
      </c>
      <c r="Q303" s="4" t="str">
        <f t="shared" si="187"/>
        <v>96950</v>
      </c>
      <c r="R303" t="str">
        <f t="shared" si="164"/>
        <v>UNITED STATES OF AMERICA</v>
      </c>
      <c r="S303" t="str">
        <f>""</f>
        <v/>
      </c>
      <c r="T303" s="5" t="str">
        <f t="shared" si="193"/>
        <v>16702861947</v>
      </c>
      <c r="U303" t="str">
        <f>""</f>
        <v/>
      </c>
      <c r="V303" s="5" t="str">
        <f>""</f>
        <v/>
      </c>
      <c r="W303" t="str">
        <f t="shared" si="194"/>
        <v>bclg.mri@gmail.com</v>
      </c>
      <c r="X303" t="str">
        <f t="shared" si="195"/>
        <v xml:space="preserve">MARIANAS STAFFING SOLUTIONS, INC. </v>
      </c>
      <c r="Y303" t="str">
        <f>""</f>
        <v/>
      </c>
      <c r="Z303" t="str">
        <f>"P.O BOX 502370"</f>
        <v>P.O BOX 502370</v>
      </c>
      <c r="AA303" t="str">
        <f>""</f>
        <v/>
      </c>
      <c r="AB303" t="str">
        <f t="shared" si="196"/>
        <v xml:space="preserve">SAIPAN </v>
      </c>
      <c r="AC303" t="str">
        <f t="shared" si="188"/>
        <v>MP</v>
      </c>
      <c r="AD303" t="str">
        <f t="shared" si="189"/>
        <v>96950</v>
      </c>
      <c r="AE303" t="str">
        <f t="shared" si="166"/>
        <v>UNITED STATES OF AMERICA</v>
      </c>
      <c r="AF303" t="str">
        <f>""</f>
        <v/>
      </c>
      <c r="AG303" s="4" t="str">
        <f t="shared" si="197"/>
        <v>16702861947</v>
      </c>
      <c r="AH303" t="str">
        <f>""</f>
        <v/>
      </c>
      <c r="AI303" t="str">
        <f t="shared" si="198"/>
        <v>561311</v>
      </c>
      <c r="AJ303" t="s">
        <v>79</v>
      </c>
      <c r="AK303" t="s">
        <v>79</v>
      </c>
      <c r="AL303" t="s">
        <v>80</v>
      </c>
      <c r="AM303" t="s">
        <v>79</v>
      </c>
      <c r="AP303" t="str">
        <f>"BARTENDER"</f>
        <v>BARTENDER</v>
      </c>
      <c r="AQ303" t="str">
        <f>"35-3011.00"</f>
        <v>35-3011.00</v>
      </c>
      <c r="AR303" t="str">
        <f>"Bartenders"</f>
        <v>Bartenders</v>
      </c>
      <c r="AS303" t="str">
        <f>"RESTAURANT SUPERVISOR "</f>
        <v xml:space="preserve">RESTAURANT SUPERVISOR </v>
      </c>
      <c r="AT303" t="s">
        <v>79</v>
      </c>
      <c r="AU303" t="str">
        <f>""</f>
        <v/>
      </c>
      <c r="AV303" t="str">
        <f>""</f>
        <v/>
      </c>
      <c r="AW303" t="s">
        <v>79</v>
      </c>
      <c r="AX303" t="str">
        <f>""</f>
        <v/>
      </c>
      <c r="AY303" t="s">
        <v>84</v>
      </c>
      <c r="BA303" t="s">
        <v>80</v>
      </c>
      <c r="BB303" t="s">
        <v>79</v>
      </c>
      <c r="BD303" t="s">
        <v>79</v>
      </c>
      <c r="BG303" t="s">
        <v>82</v>
      </c>
      <c r="BH303">
        <v>12</v>
      </c>
      <c r="BI303" t="s">
        <v>896</v>
      </c>
      <c r="BJ303" s="2" t="s">
        <v>897</v>
      </c>
      <c r="BK303" t="str">
        <f>"SAN ANTONIO VILLAGE"</f>
        <v>SAN ANTONIO VILLAGE</v>
      </c>
      <c r="BL303" t="str">
        <f>""</f>
        <v/>
      </c>
      <c r="BM303" t="str">
        <f>"SAIPAN"</f>
        <v>SAIPAN</v>
      </c>
      <c r="BO303" t="s">
        <v>83</v>
      </c>
      <c r="BP303" s="4" t="str">
        <f t="shared" si="190"/>
        <v>96950</v>
      </c>
      <c r="BQ303" t="s">
        <v>82</v>
      </c>
      <c r="BR303" t="str">
        <f>"35-3011.00"</f>
        <v>35-3011.00</v>
      </c>
      <c r="BS303" t="s">
        <v>661</v>
      </c>
      <c r="BT303" s="3">
        <v>8.3800000000000008</v>
      </c>
      <c r="BU303" t="s">
        <v>80</v>
      </c>
      <c r="BV303" t="s">
        <v>90</v>
      </c>
      <c r="BW303" t="s">
        <v>92</v>
      </c>
      <c r="BZ303" s="1">
        <v>45107</v>
      </c>
    </row>
    <row r="304" spans="1:78" ht="15" customHeight="1" x14ac:dyDescent="0.25">
      <c r="A304" t="s">
        <v>898</v>
      </c>
      <c r="B304" t="s">
        <v>94</v>
      </c>
      <c r="C304" s="1">
        <v>44843</v>
      </c>
      <c r="D304" s="1">
        <v>44883</v>
      </c>
      <c r="H304" t="s">
        <v>78</v>
      </c>
      <c r="I304" t="str">
        <f>"LEON GUERRERO "</f>
        <v xml:space="preserve">LEON GUERRERO </v>
      </c>
      <c r="J304" t="str">
        <f>"BERTHA "</f>
        <v xml:space="preserve">BERTHA </v>
      </c>
      <c r="K304" t="str">
        <f>"CAMACHO "</f>
        <v xml:space="preserve">CAMACHO </v>
      </c>
      <c r="L304" t="str">
        <f>"OPERATIONS DIRECTOR "</f>
        <v xml:space="preserve">OPERATIONS DIRECTOR </v>
      </c>
      <c r="M304" t="str">
        <f t="shared" si="191"/>
        <v>P.O BOX 502370</v>
      </c>
      <c r="N304" t="str">
        <f>""</f>
        <v/>
      </c>
      <c r="O304" t="str">
        <f t="shared" si="192"/>
        <v xml:space="preserve">SAIPAN </v>
      </c>
      <c r="P304" t="str">
        <f t="shared" si="186"/>
        <v>MP</v>
      </c>
      <c r="Q304" s="4" t="str">
        <f t="shared" si="187"/>
        <v>96950</v>
      </c>
      <c r="R304" t="str">
        <f t="shared" si="164"/>
        <v>UNITED STATES OF AMERICA</v>
      </c>
      <c r="S304" t="str">
        <f>""</f>
        <v/>
      </c>
      <c r="T304" s="5" t="str">
        <f t="shared" si="193"/>
        <v>16702861947</v>
      </c>
      <c r="U304" t="str">
        <f>""</f>
        <v/>
      </c>
      <c r="V304" s="5" t="str">
        <f>""</f>
        <v/>
      </c>
      <c r="W304" t="str">
        <f t="shared" si="194"/>
        <v>bclg.mri@gmail.com</v>
      </c>
      <c r="X304" t="str">
        <f t="shared" si="195"/>
        <v xml:space="preserve">MARIANAS STAFFING SOLUTIONS, INC. </v>
      </c>
      <c r="Y304" t="str">
        <f>""</f>
        <v/>
      </c>
      <c r="Z304" t="str">
        <f>"P.O BOX 502370"</f>
        <v>P.O BOX 502370</v>
      </c>
      <c r="AA304" t="str">
        <f>""</f>
        <v/>
      </c>
      <c r="AB304" t="str">
        <f t="shared" si="196"/>
        <v xml:space="preserve">SAIPAN </v>
      </c>
      <c r="AC304" t="str">
        <f t="shared" si="188"/>
        <v>MP</v>
      </c>
      <c r="AD304" t="str">
        <f t="shared" si="189"/>
        <v>96950</v>
      </c>
      <c r="AE304" t="str">
        <f t="shared" si="166"/>
        <v>UNITED STATES OF AMERICA</v>
      </c>
      <c r="AF304" t="str">
        <f>""</f>
        <v/>
      </c>
      <c r="AG304" s="4" t="str">
        <f t="shared" si="197"/>
        <v>16702861947</v>
      </c>
      <c r="AH304" t="str">
        <f>""</f>
        <v/>
      </c>
      <c r="AI304" t="str">
        <f t="shared" si="198"/>
        <v>561311</v>
      </c>
      <c r="AJ304" t="s">
        <v>79</v>
      </c>
      <c r="AK304" t="s">
        <v>79</v>
      </c>
      <c r="AL304" t="s">
        <v>80</v>
      </c>
      <c r="AM304" t="s">
        <v>79</v>
      </c>
      <c r="AP304" t="str">
        <f>"COOK"</f>
        <v>COOK</v>
      </c>
      <c r="AQ304" t="str">
        <f>"35-2014.00"</f>
        <v>35-2014.00</v>
      </c>
      <c r="AR304" t="str">
        <f>"Cooks, Restaurant"</f>
        <v>Cooks, Restaurant</v>
      </c>
      <c r="AS304" t="str">
        <f>"CHEF DE PARTIE "</f>
        <v xml:space="preserve">CHEF DE PARTIE </v>
      </c>
      <c r="AT304" t="s">
        <v>79</v>
      </c>
      <c r="AU304" t="str">
        <f>""</f>
        <v/>
      </c>
      <c r="AV304" t="str">
        <f>""</f>
        <v/>
      </c>
      <c r="AW304" t="s">
        <v>79</v>
      </c>
      <c r="AX304" t="str">
        <f>""</f>
        <v/>
      </c>
      <c r="AY304" t="s">
        <v>84</v>
      </c>
      <c r="BA304" t="s">
        <v>80</v>
      </c>
      <c r="BB304" t="s">
        <v>79</v>
      </c>
      <c r="BD304" t="s">
        <v>79</v>
      </c>
      <c r="BG304" t="s">
        <v>82</v>
      </c>
      <c r="BH304">
        <v>12</v>
      </c>
      <c r="BI304" t="s">
        <v>899</v>
      </c>
      <c r="BJ304" s="2" t="s">
        <v>900</v>
      </c>
      <c r="BK304" t="str">
        <f>"SAN ANTONIO VILLAGE "</f>
        <v xml:space="preserve">SAN ANTONIO VILLAGE </v>
      </c>
      <c r="BL304" t="str">
        <f>""</f>
        <v/>
      </c>
      <c r="BM304" t="str">
        <f>"SAIPAN "</f>
        <v xml:space="preserve">SAIPAN </v>
      </c>
      <c r="BO304" t="s">
        <v>83</v>
      </c>
      <c r="BP304" s="4" t="str">
        <f t="shared" si="190"/>
        <v>96950</v>
      </c>
      <c r="BQ304" t="s">
        <v>82</v>
      </c>
      <c r="BR304" t="str">
        <f>"35-2014.00"</f>
        <v>35-2014.00</v>
      </c>
      <c r="BS304" t="s">
        <v>117</v>
      </c>
      <c r="BT304" s="3">
        <v>8.5500000000000007</v>
      </c>
      <c r="BU304" t="s">
        <v>80</v>
      </c>
      <c r="BV304" t="s">
        <v>90</v>
      </c>
      <c r="BW304" t="s">
        <v>92</v>
      </c>
      <c r="BZ304" s="1">
        <v>45107</v>
      </c>
    </row>
    <row r="305" spans="1:78" ht="15" customHeight="1" x14ac:dyDescent="0.25">
      <c r="A305" t="s">
        <v>901</v>
      </c>
      <c r="B305" t="s">
        <v>94</v>
      </c>
      <c r="C305" s="1">
        <v>44843</v>
      </c>
      <c r="D305" s="1">
        <v>44883</v>
      </c>
      <c r="H305" t="s">
        <v>78</v>
      </c>
      <c r="I305" t="str">
        <f>"LEON GUERRERO "</f>
        <v xml:space="preserve">LEON GUERRERO </v>
      </c>
      <c r="J305" t="str">
        <f>"BERTHA "</f>
        <v xml:space="preserve">BERTHA </v>
      </c>
      <c r="K305" t="str">
        <f>"CAMACHO "</f>
        <v xml:space="preserve">CAMACHO </v>
      </c>
      <c r="L305" t="str">
        <f>"OPERATIONS DIRECTOR "</f>
        <v xml:space="preserve">OPERATIONS DIRECTOR </v>
      </c>
      <c r="M305" t="str">
        <f t="shared" si="191"/>
        <v>P.O BOX 502370</v>
      </c>
      <c r="N305" t="str">
        <f>""</f>
        <v/>
      </c>
      <c r="O305" t="str">
        <f t="shared" si="192"/>
        <v xml:space="preserve">SAIPAN </v>
      </c>
      <c r="P305" t="str">
        <f t="shared" si="186"/>
        <v>MP</v>
      </c>
      <c r="Q305" s="4" t="str">
        <f t="shared" si="187"/>
        <v>96950</v>
      </c>
      <c r="R305" t="str">
        <f t="shared" si="164"/>
        <v>UNITED STATES OF AMERICA</v>
      </c>
      <c r="S305" t="str">
        <f>""</f>
        <v/>
      </c>
      <c r="T305" s="5" t="str">
        <f t="shared" si="193"/>
        <v>16702861947</v>
      </c>
      <c r="U305" t="str">
        <f>""</f>
        <v/>
      </c>
      <c r="V305" s="5" t="str">
        <f>""</f>
        <v/>
      </c>
      <c r="W305" t="str">
        <f t="shared" si="194"/>
        <v>bclg.mri@gmail.com</v>
      </c>
      <c r="X305" t="str">
        <f t="shared" si="195"/>
        <v xml:space="preserve">MARIANAS STAFFING SOLUTIONS, INC. </v>
      </c>
      <c r="Y305" t="str">
        <f>""</f>
        <v/>
      </c>
      <c r="Z305" t="str">
        <f>"P.O BOX 502370"</f>
        <v>P.O BOX 502370</v>
      </c>
      <c r="AA305" t="str">
        <f>""</f>
        <v/>
      </c>
      <c r="AB305" t="str">
        <f t="shared" si="196"/>
        <v xml:space="preserve">SAIPAN </v>
      </c>
      <c r="AC305" t="str">
        <f t="shared" si="188"/>
        <v>MP</v>
      </c>
      <c r="AD305" t="str">
        <f t="shared" si="189"/>
        <v>96950</v>
      </c>
      <c r="AE305" t="str">
        <f t="shared" si="166"/>
        <v>UNITED STATES OF AMERICA</v>
      </c>
      <c r="AF305" t="str">
        <f>""</f>
        <v/>
      </c>
      <c r="AG305" s="4" t="str">
        <f t="shared" si="197"/>
        <v>16702861947</v>
      </c>
      <c r="AH305" t="str">
        <f>""</f>
        <v/>
      </c>
      <c r="AI305" t="str">
        <f t="shared" si="198"/>
        <v>561311</v>
      </c>
      <c r="AJ305" t="s">
        <v>79</v>
      </c>
      <c r="AK305" t="s">
        <v>79</v>
      </c>
      <c r="AL305" t="s">
        <v>80</v>
      </c>
      <c r="AM305" t="s">
        <v>79</v>
      </c>
      <c r="AP305" t="str">
        <f>"GENERAL  MAINTENANCE"</f>
        <v>GENERAL  MAINTENANCE</v>
      </c>
      <c r="AQ305" t="str">
        <f>"49-9071.00"</f>
        <v>49-9071.00</v>
      </c>
      <c r="AR305" t="str">
        <f>"Maintenance and Repair Workers, General"</f>
        <v>Maintenance and Repair Workers, General</v>
      </c>
      <c r="AS305" t="str">
        <f>"MAINTENANCE SUPERVISOR "</f>
        <v xml:space="preserve">MAINTENANCE SUPERVISOR </v>
      </c>
      <c r="AT305" t="s">
        <v>79</v>
      </c>
      <c r="AU305" t="str">
        <f>""</f>
        <v/>
      </c>
      <c r="AV305" t="str">
        <f>""</f>
        <v/>
      </c>
      <c r="AW305" t="s">
        <v>79</v>
      </c>
      <c r="AX305" t="str">
        <f>""</f>
        <v/>
      </c>
      <c r="AY305" t="s">
        <v>84</v>
      </c>
      <c r="BA305" t="s">
        <v>80</v>
      </c>
      <c r="BB305" t="s">
        <v>79</v>
      </c>
      <c r="BD305" t="s">
        <v>79</v>
      </c>
      <c r="BG305" t="s">
        <v>82</v>
      </c>
      <c r="BH305">
        <v>24</v>
      </c>
      <c r="BI305" t="s">
        <v>902</v>
      </c>
      <c r="BJ305" s="2" t="s">
        <v>903</v>
      </c>
      <c r="BK305" t="str">
        <f>"SAN ANTONIO VILLAGE "</f>
        <v xml:space="preserve">SAN ANTONIO VILLAGE </v>
      </c>
      <c r="BL305" t="str">
        <f>""</f>
        <v/>
      </c>
      <c r="BM305" t="str">
        <f>"SAIPAN "</f>
        <v xml:space="preserve">SAIPAN </v>
      </c>
      <c r="BO305" t="s">
        <v>83</v>
      </c>
      <c r="BP305" s="4" t="str">
        <f t="shared" si="190"/>
        <v>96950</v>
      </c>
      <c r="BQ305" t="s">
        <v>82</v>
      </c>
      <c r="BR305" t="str">
        <f>"49-9071.00"</f>
        <v>49-9071.00</v>
      </c>
      <c r="BS305" t="s">
        <v>146</v>
      </c>
      <c r="BT305" s="3">
        <v>9.19</v>
      </c>
      <c r="BU305" t="s">
        <v>80</v>
      </c>
      <c r="BV305" t="s">
        <v>90</v>
      </c>
      <c r="BW305" t="s">
        <v>92</v>
      </c>
      <c r="BZ305" s="1">
        <v>45107</v>
      </c>
    </row>
    <row r="306" spans="1:78" ht="15" customHeight="1" x14ac:dyDescent="0.25">
      <c r="A306" t="s">
        <v>907</v>
      </c>
      <c r="B306" t="s">
        <v>94</v>
      </c>
      <c r="C306" s="1">
        <v>44843</v>
      </c>
      <c r="D306" s="1">
        <v>44883</v>
      </c>
      <c r="H306" t="s">
        <v>78</v>
      </c>
      <c r="I306" t="str">
        <f>"LEON GUERRERO"</f>
        <v>LEON GUERRERO</v>
      </c>
      <c r="J306" t="str">
        <f>"BERTHA "</f>
        <v xml:space="preserve">BERTHA </v>
      </c>
      <c r="K306" t="str">
        <f>"CAMACHO "</f>
        <v xml:space="preserve">CAMACHO </v>
      </c>
      <c r="L306" t="str">
        <f>"OPERATIONS DIRECTOR "</f>
        <v xml:space="preserve">OPERATIONS DIRECTOR </v>
      </c>
      <c r="M306" t="str">
        <f t="shared" si="191"/>
        <v>P.O BOX 502370</v>
      </c>
      <c r="N306" t="str">
        <f>""</f>
        <v/>
      </c>
      <c r="O306" t="str">
        <f t="shared" si="192"/>
        <v xml:space="preserve">SAIPAN </v>
      </c>
      <c r="P306" t="str">
        <f t="shared" si="186"/>
        <v>MP</v>
      </c>
      <c r="Q306" s="4" t="str">
        <f t="shared" si="187"/>
        <v>96950</v>
      </c>
      <c r="R306" t="str">
        <f t="shared" si="164"/>
        <v>UNITED STATES OF AMERICA</v>
      </c>
      <c r="S306" t="str">
        <f>""</f>
        <v/>
      </c>
      <c r="T306" s="5" t="str">
        <f t="shared" si="193"/>
        <v>16702861947</v>
      </c>
      <c r="U306" t="str">
        <f>""</f>
        <v/>
      </c>
      <c r="V306" s="5" t="str">
        <f>""</f>
        <v/>
      </c>
      <c r="W306" t="str">
        <f t="shared" si="194"/>
        <v>bclg.mri@gmail.com</v>
      </c>
      <c r="X306" t="str">
        <f t="shared" si="195"/>
        <v xml:space="preserve">MARIANAS STAFFING SOLUTIONS, INC. </v>
      </c>
      <c r="Y306" t="str">
        <f>""</f>
        <v/>
      </c>
      <c r="Z306" t="str">
        <f>"P.O BOX 502370"</f>
        <v>P.O BOX 502370</v>
      </c>
      <c r="AA306" t="str">
        <f>""</f>
        <v/>
      </c>
      <c r="AB306" t="str">
        <f t="shared" si="196"/>
        <v xml:space="preserve">SAIPAN </v>
      </c>
      <c r="AC306" t="str">
        <f t="shared" si="188"/>
        <v>MP</v>
      </c>
      <c r="AD306" t="str">
        <f t="shared" si="189"/>
        <v>96950</v>
      </c>
      <c r="AE306" t="str">
        <f t="shared" si="166"/>
        <v>UNITED STATES OF AMERICA</v>
      </c>
      <c r="AF306" t="str">
        <f>""</f>
        <v/>
      </c>
      <c r="AG306" s="4" t="str">
        <f t="shared" si="197"/>
        <v>16702861947</v>
      </c>
      <c r="AH306" t="str">
        <f>""</f>
        <v/>
      </c>
      <c r="AI306" t="str">
        <f t="shared" si="198"/>
        <v>561311</v>
      </c>
      <c r="AJ306" t="s">
        <v>79</v>
      </c>
      <c r="AK306" t="s">
        <v>79</v>
      </c>
      <c r="AL306" t="s">
        <v>80</v>
      </c>
      <c r="AM306" t="s">
        <v>79</v>
      </c>
      <c r="AP306" t="str">
        <f>"HOUSEKEEPING ATTENDANT "</f>
        <v xml:space="preserve">HOUSEKEEPING ATTENDANT </v>
      </c>
      <c r="AQ306" t="str">
        <f>"37-2012.00"</f>
        <v>37-2012.00</v>
      </c>
      <c r="AR306" t="str">
        <f>"Maids and Housekeeping Cleaners"</f>
        <v>Maids and Housekeeping Cleaners</v>
      </c>
      <c r="AS306" t="str">
        <f>"HOUSEKEEPING SUPERVISOR "</f>
        <v xml:space="preserve">HOUSEKEEPING SUPERVISOR </v>
      </c>
      <c r="AT306" t="s">
        <v>79</v>
      </c>
      <c r="AU306" t="str">
        <f>""</f>
        <v/>
      </c>
      <c r="AV306" t="str">
        <f>""</f>
        <v/>
      </c>
      <c r="AW306" t="s">
        <v>79</v>
      </c>
      <c r="AX306" t="str">
        <f>""</f>
        <v/>
      </c>
      <c r="AY306" t="s">
        <v>84</v>
      </c>
      <c r="BA306" t="s">
        <v>80</v>
      </c>
      <c r="BB306" t="s">
        <v>79</v>
      </c>
      <c r="BD306" t="s">
        <v>79</v>
      </c>
      <c r="BG306" t="s">
        <v>82</v>
      </c>
      <c r="BH306">
        <v>6</v>
      </c>
      <c r="BI306" t="s">
        <v>908</v>
      </c>
      <c r="BJ306" s="2" t="s">
        <v>909</v>
      </c>
      <c r="BK306" t="str">
        <f>"SAN ANTONIO VILLAGE "</f>
        <v xml:space="preserve">SAN ANTONIO VILLAGE </v>
      </c>
      <c r="BL306" t="str">
        <f>""</f>
        <v/>
      </c>
      <c r="BM306" t="str">
        <f>"SAIPAN "</f>
        <v xml:space="preserve">SAIPAN </v>
      </c>
      <c r="BO306" t="s">
        <v>83</v>
      </c>
      <c r="BP306" s="4" t="str">
        <f t="shared" si="190"/>
        <v>96950</v>
      </c>
      <c r="BQ306" t="s">
        <v>82</v>
      </c>
      <c r="BR306" t="str">
        <f>"37-2012.00"</f>
        <v>37-2012.00</v>
      </c>
      <c r="BS306" t="s">
        <v>109</v>
      </c>
      <c r="BT306" s="3">
        <v>7.56</v>
      </c>
      <c r="BU306" t="s">
        <v>80</v>
      </c>
      <c r="BV306" t="s">
        <v>90</v>
      </c>
      <c r="BW306" t="s">
        <v>92</v>
      </c>
      <c r="BZ306" s="1">
        <v>45107</v>
      </c>
    </row>
    <row r="307" spans="1:78" ht="15" customHeight="1" x14ac:dyDescent="0.25">
      <c r="A307" t="s">
        <v>910</v>
      </c>
      <c r="B307" t="s">
        <v>94</v>
      </c>
      <c r="C307" s="1">
        <v>44843</v>
      </c>
      <c r="D307" s="1">
        <v>44883</v>
      </c>
      <c r="H307" t="s">
        <v>78</v>
      </c>
      <c r="I307" t="str">
        <f>"LEON GUERRERO "</f>
        <v xml:space="preserve">LEON GUERRERO </v>
      </c>
      <c r="J307" t="str">
        <f>"BERTHA "</f>
        <v xml:space="preserve">BERTHA </v>
      </c>
      <c r="K307" t="str">
        <f>"CAMACHO "</f>
        <v xml:space="preserve">CAMACHO </v>
      </c>
      <c r="L307" t="str">
        <f>"OPERATIONS DIRECTOR "</f>
        <v xml:space="preserve">OPERATIONS DIRECTOR </v>
      </c>
      <c r="M307" t="str">
        <f t="shared" si="191"/>
        <v>P.O BOX 502370</v>
      </c>
      <c r="N307" t="str">
        <f>""</f>
        <v/>
      </c>
      <c r="O307" t="str">
        <f t="shared" si="192"/>
        <v xml:space="preserve">SAIPAN </v>
      </c>
      <c r="P307" t="str">
        <f t="shared" si="186"/>
        <v>MP</v>
      </c>
      <c r="Q307" s="4" t="str">
        <f t="shared" si="187"/>
        <v>96950</v>
      </c>
      <c r="R307" t="str">
        <f t="shared" si="164"/>
        <v>UNITED STATES OF AMERICA</v>
      </c>
      <c r="S307" t="str">
        <f>""</f>
        <v/>
      </c>
      <c r="T307" s="5" t="str">
        <f t="shared" si="193"/>
        <v>16702861947</v>
      </c>
      <c r="U307" t="str">
        <f>""</f>
        <v/>
      </c>
      <c r="V307" s="5" t="str">
        <f>""</f>
        <v/>
      </c>
      <c r="W307" t="str">
        <f t="shared" si="194"/>
        <v>bclg.mri@gmail.com</v>
      </c>
      <c r="X307" t="str">
        <f t="shared" si="195"/>
        <v xml:space="preserve">MARIANAS STAFFING SOLUTIONS, INC. </v>
      </c>
      <c r="Y307" t="str">
        <f>""</f>
        <v/>
      </c>
      <c r="Z307" t="str">
        <f>"P.O BOX 502370"</f>
        <v>P.O BOX 502370</v>
      </c>
      <c r="AA307" t="str">
        <f>""</f>
        <v/>
      </c>
      <c r="AB307" t="str">
        <f t="shared" si="196"/>
        <v xml:space="preserve">SAIPAN </v>
      </c>
      <c r="AC307" t="str">
        <f t="shared" si="188"/>
        <v>MP</v>
      </c>
      <c r="AD307" t="str">
        <f t="shared" si="189"/>
        <v>96950</v>
      </c>
      <c r="AE307" t="str">
        <f t="shared" si="166"/>
        <v>UNITED STATES OF AMERICA</v>
      </c>
      <c r="AF307" t="str">
        <f>""</f>
        <v/>
      </c>
      <c r="AG307" s="4" t="str">
        <f t="shared" si="197"/>
        <v>16702861947</v>
      </c>
      <c r="AH307" t="str">
        <f>""</f>
        <v/>
      </c>
      <c r="AI307" t="str">
        <f t="shared" si="198"/>
        <v>561311</v>
      </c>
      <c r="AJ307" t="s">
        <v>79</v>
      </c>
      <c r="AK307" t="s">
        <v>79</v>
      </c>
      <c r="AL307" t="s">
        <v>80</v>
      </c>
      <c r="AM307" t="s">
        <v>79</v>
      </c>
      <c r="AP307" t="str">
        <f>"RECREATION ATTENDANT "</f>
        <v xml:space="preserve">RECREATION ATTENDANT </v>
      </c>
      <c r="AQ307" t="str">
        <f>"33-9092.00"</f>
        <v>33-9092.00</v>
      </c>
      <c r="AR307" t="str">
        <f>"Lifeguards, Ski Patrol, and Other Recreational Protective Service Workers"</f>
        <v>Lifeguards, Ski Patrol, and Other Recreational Protective Service Workers</v>
      </c>
      <c r="AS307" t="str">
        <f>"RECREATION SUPERVISOR "</f>
        <v xml:space="preserve">RECREATION SUPERVISOR </v>
      </c>
      <c r="AT307" t="s">
        <v>79</v>
      </c>
      <c r="AU307" t="str">
        <f>""</f>
        <v/>
      </c>
      <c r="AV307" t="str">
        <f>""</f>
        <v/>
      </c>
      <c r="AW307" t="s">
        <v>79</v>
      </c>
      <c r="AX307" t="str">
        <f>""</f>
        <v/>
      </c>
      <c r="AY307" t="s">
        <v>84</v>
      </c>
      <c r="BA307" t="s">
        <v>80</v>
      </c>
      <c r="BB307" t="s">
        <v>79</v>
      </c>
      <c r="BD307" t="s">
        <v>82</v>
      </c>
      <c r="BE307">
        <v>3</v>
      </c>
      <c r="BF307" t="s">
        <v>911</v>
      </c>
      <c r="BG307" t="s">
        <v>82</v>
      </c>
      <c r="BH307">
        <v>12</v>
      </c>
      <c r="BI307" t="s">
        <v>912</v>
      </c>
      <c r="BJ307" s="2" t="s">
        <v>913</v>
      </c>
      <c r="BK307" t="str">
        <f>"SAN ANTONIO VILLAGE "</f>
        <v xml:space="preserve">SAN ANTONIO VILLAGE </v>
      </c>
      <c r="BL307" t="str">
        <f>""</f>
        <v/>
      </c>
      <c r="BM307" t="str">
        <f>"SAIPAN "</f>
        <v xml:space="preserve">SAIPAN </v>
      </c>
      <c r="BO307" t="s">
        <v>83</v>
      </c>
      <c r="BP307" s="4" t="str">
        <f t="shared" si="190"/>
        <v>96950</v>
      </c>
      <c r="BQ307" t="s">
        <v>82</v>
      </c>
      <c r="BR307" t="str">
        <f>"33-9092.00"</f>
        <v>33-9092.00</v>
      </c>
      <c r="BS307" t="s">
        <v>914</v>
      </c>
      <c r="BT307" s="3">
        <v>8.91</v>
      </c>
      <c r="BU307" t="s">
        <v>80</v>
      </c>
      <c r="BV307" t="s">
        <v>90</v>
      </c>
      <c r="BW307" t="s">
        <v>92</v>
      </c>
      <c r="BZ307" s="1">
        <v>45107</v>
      </c>
    </row>
    <row r="308" spans="1:78" ht="15" customHeight="1" x14ac:dyDescent="0.25">
      <c r="A308" t="s">
        <v>866</v>
      </c>
      <c r="B308" t="s">
        <v>94</v>
      </c>
      <c r="C308" s="1">
        <v>44842</v>
      </c>
      <c r="D308" s="1">
        <v>44883</v>
      </c>
      <c r="H308" t="s">
        <v>78</v>
      </c>
      <c r="I308" t="str">
        <f>"XIE"</f>
        <v>XIE</v>
      </c>
      <c r="J308" t="str">
        <f>"YUANRUI"</f>
        <v>YUANRUI</v>
      </c>
      <c r="K308" t="str">
        <f>"N/A"</f>
        <v>N/A</v>
      </c>
      <c r="L308" t="str">
        <f>"Acting Office Representative"</f>
        <v>Acting Office Representative</v>
      </c>
      <c r="M308" t="str">
        <f>"Guangdong Building, Msgr. Martinez Road"</f>
        <v>Guangdong Building, Msgr. Martinez Road</v>
      </c>
      <c r="N308" t="str">
        <f>"P.O. BOX 501640, As Lito Village"</f>
        <v>P.O. BOX 501640, As Lito Village</v>
      </c>
      <c r="O308" t="str">
        <f>"Saipan"</f>
        <v>Saipan</v>
      </c>
      <c r="P308" t="str">
        <f t="shared" si="186"/>
        <v>MP</v>
      </c>
      <c r="Q308" s="4" t="str">
        <f t="shared" si="187"/>
        <v>96950</v>
      </c>
      <c r="R308" t="str">
        <f t="shared" si="164"/>
        <v>UNITED STATES OF AMERICA</v>
      </c>
      <c r="S308" t="str">
        <f>"N/A"</f>
        <v>N/A</v>
      </c>
      <c r="T308" s="5" t="str">
        <f>"16702882288"</f>
        <v>16702882288</v>
      </c>
      <c r="U308" t="str">
        <f>"106"</f>
        <v>106</v>
      </c>
      <c r="V308" s="5" t="str">
        <f>""</f>
        <v/>
      </c>
      <c r="W308" t="str">
        <f>"guangdong_hardware@163.com"</f>
        <v>guangdong_hardware@163.com</v>
      </c>
      <c r="X308" t="str">
        <f>"GUANGDONG DEVELOPMENT CO LTD"</f>
        <v>GUANGDONG DEVELOPMENT CO LTD</v>
      </c>
      <c r="Y308" t="str">
        <f>"GUANGDONG HARDWARE"</f>
        <v>GUANGDONG HARDWARE</v>
      </c>
      <c r="Z308" t="str">
        <f>"Guangdong Building, Msgr. Martinez Road"</f>
        <v>Guangdong Building, Msgr. Martinez Road</v>
      </c>
      <c r="AA308" t="str">
        <f>"P.O. BOX 501640, As Lito Village"</f>
        <v>P.O. BOX 501640, As Lito Village</v>
      </c>
      <c r="AB308" t="str">
        <f>"Saipan"</f>
        <v>Saipan</v>
      </c>
      <c r="AC308" t="str">
        <f t="shared" si="188"/>
        <v>MP</v>
      </c>
      <c r="AD308" t="str">
        <f t="shared" si="189"/>
        <v>96950</v>
      </c>
      <c r="AE308" t="str">
        <f t="shared" si="166"/>
        <v>UNITED STATES OF AMERICA</v>
      </c>
      <c r="AF308" t="str">
        <f>"N/A"</f>
        <v>N/A</v>
      </c>
      <c r="AG308" s="4" t="str">
        <f>"16702882288"</f>
        <v>16702882288</v>
      </c>
      <c r="AH308" t="str">
        <f>"106"</f>
        <v>106</v>
      </c>
      <c r="AI308" t="str">
        <f>"44413"</f>
        <v>44413</v>
      </c>
      <c r="AJ308" t="s">
        <v>79</v>
      </c>
      <c r="AK308" t="s">
        <v>79</v>
      </c>
      <c r="AL308" t="s">
        <v>80</v>
      </c>
      <c r="AM308" t="s">
        <v>79</v>
      </c>
      <c r="AP308" t="str">
        <f>"General Manager"</f>
        <v>General Manager</v>
      </c>
      <c r="AQ308" t="str">
        <f>"11-1021.00"</f>
        <v>11-1021.00</v>
      </c>
      <c r="AR308" t="str">
        <f>"General and Operations Managers"</f>
        <v>General and Operations Managers</v>
      </c>
      <c r="AS308" t="str">
        <f>"N/A"</f>
        <v>N/A</v>
      </c>
      <c r="AT308" t="s">
        <v>82</v>
      </c>
      <c r="AU308" t="str">
        <f>"15"</f>
        <v>15</v>
      </c>
      <c r="AV308" t="str">
        <f>"Subordinate"</f>
        <v>Subordinate</v>
      </c>
      <c r="AW308" t="s">
        <v>79</v>
      </c>
      <c r="AX308" t="str">
        <f>""</f>
        <v/>
      </c>
      <c r="AY308" t="s">
        <v>95</v>
      </c>
      <c r="BA308" t="s">
        <v>80</v>
      </c>
      <c r="BB308" t="s">
        <v>79</v>
      </c>
      <c r="BD308" t="s">
        <v>79</v>
      </c>
      <c r="BG308" t="s">
        <v>82</v>
      </c>
      <c r="BH308">
        <v>48</v>
      </c>
      <c r="BI308" t="s">
        <v>867</v>
      </c>
      <c r="BJ308" t="s">
        <v>868</v>
      </c>
      <c r="BK308" t="str">
        <f>"Guangdong Building, Msgr. Martinez Road"</f>
        <v>Guangdong Building, Msgr. Martinez Road</v>
      </c>
      <c r="BL308" t="str">
        <f>"P.O. BOX 501640, As Lito Village"</f>
        <v>P.O. BOX 501640, As Lito Village</v>
      </c>
      <c r="BM308" t="str">
        <f>"Saipan"</f>
        <v>Saipan</v>
      </c>
      <c r="BO308" t="s">
        <v>83</v>
      </c>
      <c r="BP308" s="4" t="str">
        <f t="shared" si="190"/>
        <v>96950</v>
      </c>
      <c r="BQ308" t="s">
        <v>79</v>
      </c>
      <c r="BR308" t="str">
        <f>"11-1021.00"</f>
        <v>11-1021.00</v>
      </c>
      <c r="BS308" t="s">
        <v>244</v>
      </c>
      <c r="BT308" s="3">
        <v>20.83</v>
      </c>
      <c r="BU308" t="s">
        <v>80</v>
      </c>
      <c r="BV308" t="s">
        <v>90</v>
      </c>
      <c r="BW308" t="s">
        <v>92</v>
      </c>
      <c r="BZ308" s="1">
        <v>45107</v>
      </c>
    </row>
    <row r="309" spans="1:78" ht="15" customHeight="1" x14ac:dyDescent="0.25">
      <c r="A309" t="s">
        <v>869</v>
      </c>
      <c r="B309" t="s">
        <v>94</v>
      </c>
      <c r="C309" s="1">
        <v>44842</v>
      </c>
      <c r="D309" s="1">
        <v>44883</v>
      </c>
      <c r="H309" t="s">
        <v>78</v>
      </c>
      <c r="I309" t="str">
        <f>"XIE"</f>
        <v>XIE</v>
      </c>
      <c r="J309" t="str">
        <f>"YUANRUI"</f>
        <v>YUANRUI</v>
      </c>
      <c r="K309" t="str">
        <f>"N/A"</f>
        <v>N/A</v>
      </c>
      <c r="L309" t="str">
        <f>"Acting Office Representative"</f>
        <v>Acting Office Representative</v>
      </c>
      <c r="M309" t="str">
        <f>"Guangdong Building, Msgr. Martinez Road"</f>
        <v>Guangdong Building, Msgr. Martinez Road</v>
      </c>
      <c r="N309" t="str">
        <f>"P.O. BOX 501640, As Lito Village"</f>
        <v>P.O. BOX 501640, As Lito Village</v>
      </c>
      <c r="O309" t="str">
        <f>"Saipan"</f>
        <v>Saipan</v>
      </c>
      <c r="P309" t="str">
        <f t="shared" si="186"/>
        <v>MP</v>
      </c>
      <c r="Q309" s="4" t="str">
        <f t="shared" si="187"/>
        <v>96950</v>
      </c>
      <c r="R309" t="str">
        <f t="shared" si="164"/>
        <v>UNITED STATES OF AMERICA</v>
      </c>
      <c r="S309" t="str">
        <f>"N/A"</f>
        <v>N/A</v>
      </c>
      <c r="T309" s="5" t="str">
        <f>"16702882288"</f>
        <v>16702882288</v>
      </c>
      <c r="U309" t="str">
        <f>"106"</f>
        <v>106</v>
      </c>
      <c r="V309" s="5" t="str">
        <f>""</f>
        <v/>
      </c>
      <c r="W309" t="str">
        <f>"guangdong_hardware@163.com"</f>
        <v>guangdong_hardware@163.com</v>
      </c>
      <c r="X309" t="str">
        <f>"GUANGDONG DEVELOPMENT CO LTD"</f>
        <v>GUANGDONG DEVELOPMENT CO LTD</v>
      </c>
      <c r="Y309" t="str">
        <f>"GUANGDONG HARDWARE"</f>
        <v>GUANGDONG HARDWARE</v>
      </c>
      <c r="Z309" t="str">
        <f>"Guangdong Building, Msgr. Martinez Road"</f>
        <v>Guangdong Building, Msgr. Martinez Road</v>
      </c>
      <c r="AA309" t="str">
        <f>"P.O. BOX 501640, As Lito Village"</f>
        <v>P.O. BOX 501640, As Lito Village</v>
      </c>
      <c r="AB309" t="str">
        <f>"Saipan"</f>
        <v>Saipan</v>
      </c>
      <c r="AC309" t="str">
        <f t="shared" si="188"/>
        <v>MP</v>
      </c>
      <c r="AD309" t="str">
        <f t="shared" si="189"/>
        <v>96950</v>
      </c>
      <c r="AE309" t="str">
        <f t="shared" si="166"/>
        <v>UNITED STATES OF AMERICA</v>
      </c>
      <c r="AF309" t="str">
        <f>"N/A"</f>
        <v>N/A</v>
      </c>
      <c r="AG309" s="4" t="str">
        <f>"16702882288"</f>
        <v>16702882288</v>
      </c>
      <c r="AH309" t="str">
        <f>"106"</f>
        <v>106</v>
      </c>
      <c r="AI309" t="str">
        <f>"444130"</f>
        <v>444130</v>
      </c>
      <c r="AJ309" t="s">
        <v>79</v>
      </c>
      <c r="AK309" t="s">
        <v>79</v>
      </c>
      <c r="AL309" t="s">
        <v>80</v>
      </c>
      <c r="AM309" t="s">
        <v>79</v>
      </c>
      <c r="AP309" t="str">
        <f>"Staff Canteen Cook"</f>
        <v>Staff Canteen Cook</v>
      </c>
      <c r="AQ309" t="str">
        <f>"35-2011.00"</f>
        <v>35-2011.00</v>
      </c>
      <c r="AR309" t="str">
        <f>"Cooks, Fast Food"</f>
        <v>Cooks, Fast Food</v>
      </c>
      <c r="AS309" t="str">
        <f>"MANAGER"</f>
        <v>MANAGER</v>
      </c>
      <c r="AT309" t="s">
        <v>79</v>
      </c>
      <c r="AU309" t="str">
        <f>""</f>
        <v/>
      </c>
      <c r="AV309" t="str">
        <f>""</f>
        <v/>
      </c>
      <c r="AW309" t="s">
        <v>79</v>
      </c>
      <c r="AX309" t="str">
        <f>""</f>
        <v/>
      </c>
      <c r="AY309" t="s">
        <v>81</v>
      </c>
      <c r="BA309" t="s">
        <v>80</v>
      </c>
      <c r="BB309" t="s">
        <v>79</v>
      </c>
      <c r="BD309" t="s">
        <v>79</v>
      </c>
      <c r="BG309" t="s">
        <v>82</v>
      </c>
      <c r="BH309">
        <v>3</v>
      </c>
      <c r="BI309" t="s">
        <v>870</v>
      </c>
      <c r="BJ309" t="s">
        <v>871</v>
      </c>
      <c r="BK309" t="str">
        <f>"Guangdong Building, Msgr. Martinez Road"</f>
        <v>Guangdong Building, Msgr. Martinez Road</v>
      </c>
      <c r="BL309" t="str">
        <f>"P.O. BOX 501640, As Lito Village"</f>
        <v>P.O. BOX 501640, As Lito Village</v>
      </c>
      <c r="BM309" t="str">
        <f>"Saipan"</f>
        <v>Saipan</v>
      </c>
      <c r="BO309" t="s">
        <v>83</v>
      </c>
      <c r="BP309" s="4" t="str">
        <f t="shared" si="190"/>
        <v>96950</v>
      </c>
      <c r="BQ309" t="s">
        <v>79</v>
      </c>
      <c r="BR309" t="str">
        <f>"35-2011.00"</f>
        <v>35-2011.00</v>
      </c>
      <c r="BS309" t="s">
        <v>872</v>
      </c>
      <c r="BT309" s="3">
        <v>8.76</v>
      </c>
      <c r="BU309" t="s">
        <v>80</v>
      </c>
      <c r="BV309" t="s">
        <v>90</v>
      </c>
      <c r="BW309" t="s">
        <v>92</v>
      </c>
      <c r="BZ309" s="1">
        <v>45107</v>
      </c>
    </row>
    <row r="310" spans="1:78" ht="15" customHeight="1" x14ac:dyDescent="0.25">
      <c r="A310" t="s">
        <v>873</v>
      </c>
      <c r="B310" t="s">
        <v>94</v>
      </c>
      <c r="C310" s="1">
        <v>44842</v>
      </c>
      <c r="D310" s="1">
        <v>44883</v>
      </c>
      <c r="H310" t="s">
        <v>78</v>
      </c>
      <c r="I310" t="str">
        <f>"XIE"</f>
        <v>XIE</v>
      </c>
      <c r="J310" t="str">
        <f>"YUANRUI"</f>
        <v>YUANRUI</v>
      </c>
      <c r="K310" t="str">
        <f>"N/A"</f>
        <v>N/A</v>
      </c>
      <c r="L310" t="str">
        <f>"Acting Office Representative"</f>
        <v>Acting Office Representative</v>
      </c>
      <c r="M310" t="str">
        <f>"Guangdong Building, Msgr. Martinez Road"</f>
        <v>Guangdong Building, Msgr. Martinez Road</v>
      </c>
      <c r="N310" t="str">
        <f>"P.O. BOX 501640, As Lito Village"</f>
        <v>P.O. BOX 501640, As Lito Village</v>
      </c>
      <c r="O310" t="str">
        <f>"Saipan"</f>
        <v>Saipan</v>
      </c>
      <c r="P310" t="str">
        <f t="shared" si="186"/>
        <v>MP</v>
      </c>
      <c r="Q310" s="4" t="str">
        <f t="shared" si="187"/>
        <v>96950</v>
      </c>
      <c r="R310" t="str">
        <f t="shared" si="164"/>
        <v>UNITED STATES OF AMERICA</v>
      </c>
      <c r="S310" t="str">
        <f>"N/A"</f>
        <v>N/A</v>
      </c>
      <c r="T310" s="5" t="str">
        <f>"16702882288"</f>
        <v>16702882288</v>
      </c>
      <c r="U310" t="str">
        <f>"106"</f>
        <v>106</v>
      </c>
      <c r="V310" s="5" t="str">
        <f>""</f>
        <v/>
      </c>
      <c r="W310" t="str">
        <f>"guangdong_hardware@163.com"</f>
        <v>guangdong_hardware@163.com</v>
      </c>
      <c r="X310" t="str">
        <f>"GUANGDONG DEVELOPMENT CO LTD"</f>
        <v>GUANGDONG DEVELOPMENT CO LTD</v>
      </c>
      <c r="Y310" t="str">
        <f>"GUANGDONG HARDWARE"</f>
        <v>GUANGDONG HARDWARE</v>
      </c>
      <c r="Z310" t="str">
        <f>"Guangdong Building, Msgr. Martinez Road"</f>
        <v>Guangdong Building, Msgr. Martinez Road</v>
      </c>
      <c r="AA310" t="str">
        <f>"P.O. BOX 501640, As Lito Village"</f>
        <v>P.O. BOX 501640, As Lito Village</v>
      </c>
      <c r="AB310" t="str">
        <f>"Saipan"</f>
        <v>Saipan</v>
      </c>
      <c r="AC310" t="str">
        <f t="shared" si="188"/>
        <v>MP</v>
      </c>
      <c r="AD310" t="str">
        <f t="shared" si="189"/>
        <v>96950</v>
      </c>
      <c r="AE310" t="str">
        <f t="shared" si="166"/>
        <v>UNITED STATES OF AMERICA</v>
      </c>
      <c r="AF310" t="str">
        <f>"N/A"</f>
        <v>N/A</v>
      </c>
      <c r="AG310" s="4" t="str">
        <f>"16702882288"</f>
        <v>16702882288</v>
      </c>
      <c r="AH310" t="str">
        <f>"106"</f>
        <v>106</v>
      </c>
      <c r="AI310" t="str">
        <f>"44413"</f>
        <v>44413</v>
      </c>
      <c r="AJ310" t="s">
        <v>79</v>
      </c>
      <c r="AK310" t="s">
        <v>79</v>
      </c>
      <c r="AL310" t="s">
        <v>80</v>
      </c>
      <c r="AM310" t="s">
        <v>79</v>
      </c>
      <c r="AP310" t="str">
        <f>"Heavy Equipment Operator"</f>
        <v>Heavy Equipment Operator</v>
      </c>
      <c r="AQ310" t="str">
        <f>"53-3033.00"</f>
        <v>53-3033.00</v>
      </c>
      <c r="AR310" t="str">
        <f>"Light Truck Drivers"</f>
        <v>Light Truck Drivers</v>
      </c>
      <c r="AS310" t="str">
        <f>"MANAGER"</f>
        <v>MANAGER</v>
      </c>
      <c r="AT310" t="s">
        <v>79</v>
      </c>
      <c r="AU310" t="str">
        <f>""</f>
        <v/>
      </c>
      <c r="AV310" t="str">
        <f>""</f>
        <v/>
      </c>
      <c r="AW310" t="s">
        <v>79</v>
      </c>
      <c r="AX310" t="str">
        <f>""</f>
        <v/>
      </c>
      <c r="AY310" t="s">
        <v>81</v>
      </c>
      <c r="BA310" t="s">
        <v>80</v>
      </c>
      <c r="BB310" t="s">
        <v>79</v>
      </c>
      <c r="BD310" t="s">
        <v>79</v>
      </c>
      <c r="BG310" t="s">
        <v>82</v>
      </c>
      <c r="BH310">
        <v>12</v>
      </c>
      <c r="BI310" t="s">
        <v>874</v>
      </c>
      <c r="BJ310" t="s">
        <v>875</v>
      </c>
      <c r="BK310" t="str">
        <f>"Guangdong Building, Msgr. Martinez Road"</f>
        <v>Guangdong Building, Msgr. Martinez Road</v>
      </c>
      <c r="BL310" t="str">
        <f>"P.O. BOX 501640, As Lito Village"</f>
        <v>P.O. BOX 501640, As Lito Village</v>
      </c>
      <c r="BM310" t="str">
        <f>"Saipan"</f>
        <v>Saipan</v>
      </c>
      <c r="BO310" t="s">
        <v>83</v>
      </c>
      <c r="BP310" s="4" t="str">
        <f t="shared" si="190"/>
        <v>96950</v>
      </c>
      <c r="BQ310" t="s">
        <v>79</v>
      </c>
      <c r="BR310" t="str">
        <f>"53-3033.00"</f>
        <v>53-3033.00</v>
      </c>
      <c r="BS310" t="s">
        <v>625</v>
      </c>
      <c r="BT310" s="3">
        <v>7.87</v>
      </c>
      <c r="BU310" t="s">
        <v>80</v>
      </c>
      <c r="BV310" t="s">
        <v>90</v>
      </c>
      <c r="BW310" t="s">
        <v>92</v>
      </c>
      <c r="BZ310" s="1">
        <v>45107</v>
      </c>
    </row>
    <row r="311" spans="1:78" ht="15" customHeight="1" x14ac:dyDescent="0.25">
      <c r="A311" t="s">
        <v>876</v>
      </c>
      <c r="B311" t="s">
        <v>94</v>
      </c>
      <c r="C311" s="1">
        <v>44842</v>
      </c>
      <c r="D311" s="1">
        <v>44883</v>
      </c>
      <c r="H311" t="s">
        <v>78</v>
      </c>
      <c r="I311" t="str">
        <f>"Penaroyo"</f>
        <v>Penaroyo</v>
      </c>
      <c r="J311" t="str">
        <f>"Rex John"</f>
        <v>Rex John</v>
      </c>
      <c r="K311" t="str">
        <f>"Segotier"</f>
        <v>Segotier</v>
      </c>
      <c r="L311" t="str">
        <f>"Assistant Director"</f>
        <v>Assistant Director</v>
      </c>
      <c r="M311" t="str">
        <f>"PO BOX 506014"</f>
        <v>PO BOX 506014</v>
      </c>
      <c r="N311" t="str">
        <f>""</f>
        <v/>
      </c>
      <c r="O311" t="str">
        <f>"Saipan"</f>
        <v>Saipan</v>
      </c>
      <c r="P311" t="str">
        <f t="shared" si="186"/>
        <v>MP</v>
      </c>
      <c r="Q311" s="4" t="str">
        <f t="shared" si="187"/>
        <v>96950</v>
      </c>
      <c r="R311" t="str">
        <f t="shared" si="164"/>
        <v>UNITED STATES OF AMERICA</v>
      </c>
      <c r="S311" t="str">
        <f>""</f>
        <v/>
      </c>
      <c r="T311" s="5" t="str">
        <f>"16707831161"</f>
        <v>16707831161</v>
      </c>
      <c r="U311" t="str">
        <f>""</f>
        <v/>
      </c>
      <c r="V311" s="5" t="str">
        <f>""</f>
        <v/>
      </c>
      <c r="W311" t="str">
        <f>"reqcorp@gmail.com"</f>
        <v>reqcorp@gmail.com</v>
      </c>
      <c r="X311" t="str">
        <f>"R&amp;EQ Corporation"</f>
        <v>R&amp;EQ Corporation</v>
      </c>
      <c r="Y311" t="str">
        <f>"R&amp;EQ Day &amp; Night Child Care Center"</f>
        <v>R&amp;EQ Day &amp; Night Child Care Center</v>
      </c>
      <c r="Z311" t="str">
        <f>"PO BOX 506014"</f>
        <v>PO BOX 506014</v>
      </c>
      <c r="AA311" t="str">
        <f>""</f>
        <v/>
      </c>
      <c r="AB311" t="str">
        <f>"Saipan"</f>
        <v>Saipan</v>
      </c>
      <c r="AC311" t="str">
        <f t="shared" si="188"/>
        <v>MP</v>
      </c>
      <c r="AD311" t="str">
        <f t="shared" si="189"/>
        <v>96950</v>
      </c>
      <c r="AE311" t="str">
        <f t="shared" si="166"/>
        <v>UNITED STATES OF AMERICA</v>
      </c>
      <c r="AF311" t="str">
        <f>""</f>
        <v/>
      </c>
      <c r="AG311" s="4" t="str">
        <f>"16707831161"</f>
        <v>16707831161</v>
      </c>
      <c r="AH311" t="str">
        <f>""</f>
        <v/>
      </c>
      <c r="AI311" t="str">
        <f>"624410"</f>
        <v>624410</v>
      </c>
      <c r="AJ311" t="s">
        <v>79</v>
      </c>
      <c r="AK311" t="s">
        <v>79</v>
      </c>
      <c r="AL311" t="s">
        <v>80</v>
      </c>
      <c r="AM311" t="s">
        <v>79</v>
      </c>
      <c r="AP311" t="str">
        <f>"Maids and Housekeeping"</f>
        <v>Maids and Housekeeping</v>
      </c>
      <c r="AQ311" t="str">
        <f>"37-2012.00"</f>
        <v>37-2012.00</v>
      </c>
      <c r="AR311" t="str">
        <f>"Maids and Housekeeping Cleaners"</f>
        <v>Maids and Housekeeping Cleaners</v>
      </c>
      <c r="AS311" t="str">
        <f>"Assistant Director"</f>
        <v>Assistant Director</v>
      </c>
      <c r="AT311" t="s">
        <v>79</v>
      </c>
      <c r="AU311" t="str">
        <f>""</f>
        <v/>
      </c>
      <c r="AV311" t="str">
        <f>""</f>
        <v/>
      </c>
      <c r="AW311" t="s">
        <v>79</v>
      </c>
      <c r="AX311" t="str">
        <f>""</f>
        <v/>
      </c>
      <c r="AY311" t="s">
        <v>84</v>
      </c>
      <c r="BA311" t="s">
        <v>119</v>
      </c>
      <c r="BB311" t="s">
        <v>79</v>
      </c>
      <c r="BD311" t="s">
        <v>79</v>
      </c>
      <c r="BG311" t="s">
        <v>82</v>
      </c>
      <c r="BH311">
        <v>3</v>
      </c>
      <c r="BI311" t="s">
        <v>877</v>
      </c>
      <c r="BJ311" t="s">
        <v>878</v>
      </c>
      <c r="BK311" t="str">
        <f>"10139 Magalahi Drive"</f>
        <v>10139 Magalahi Drive</v>
      </c>
      <c r="BL311" t="str">
        <f>""</f>
        <v/>
      </c>
      <c r="BM311" t="str">
        <f>"Saipan"</f>
        <v>Saipan</v>
      </c>
      <c r="BO311" t="s">
        <v>83</v>
      </c>
      <c r="BP311" s="4" t="str">
        <f t="shared" si="190"/>
        <v>96950</v>
      </c>
      <c r="BQ311" t="s">
        <v>79</v>
      </c>
      <c r="BR311" t="str">
        <f>"37-2012.00"</f>
        <v>37-2012.00</v>
      </c>
      <c r="BS311" t="s">
        <v>109</v>
      </c>
      <c r="BT311" s="3">
        <v>7.56</v>
      </c>
      <c r="BU311" t="s">
        <v>80</v>
      </c>
      <c r="BV311" t="s">
        <v>90</v>
      </c>
      <c r="BW311" t="s">
        <v>92</v>
      </c>
      <c r="BZ311" s="1">
        <v>45107</v>
      </c>
    </row>
    <row r="312" spans="1:78" ht="15" customHeight="1" x14ac:dyDescent="0.25">
      <c r="A312" t="s">
        <v>879</v>
      </c>
      <c r="B312" t="s">
        <v>94</v>
      </c>
      <c r="C312" s="1">
        <v>44842</v>
      </c>
      <c r="D312" s="1">
        <v>44883</v>
      </c>
      <c r="H312" t="s">
        <v>78</v>
      </c>
      <c r="I312" t="str">
        <f>"PALMA"</f>
        <v>PALMA</v>
      </c>
      <c r="J312" t="str">
        <f>"MARGARITA"</f>
        <v>MARGARITA</v>
      </c>
      <c r="K312" t="str">
        <f>"S"</f>
        <v>S</v>
      </c>
      <c r="L312" t="str">
        <f>"VICE PRESIDENT"</f>
        <v>VICE PRESIDENT</v>
      </c>
      <c r="M312" t="str">
        <f>"PO BOX 502951"</f>
        <v>PO BOX 502951</v>
      </c>
      <c r="N312" t="str">
        <f>""</f>
        <v/>
      </c>
      <c r="O312" t="str">
        <f>"SAIPAN"</f>
        <v>SAIPAN</v>
      </c>
      <c r="P312" t="str">
        <f t="shared" si="186"/>
        <v>MP</v>
      </c>
      <c r="Q312" s="4" t="str">
        <f t="shared" si="187"/>
        <v>96950</v>
      </c>
      <c r="R312" t="str">
        <f t="shared" si="164"/>
        <v>UNITED STATES OF AMERICA</v>
      </c>
      <c r="S312" t="str">
        <f>""</f>
        <v/>
      </c>
      <c r="T312" s="5" t="str">
        <f>"16707880047"</f>
        <v>16707880047</v>
      </c>
      <c r="U312" t="str">
        <f>""</f>
        <v/>
      </c>
      <c r="V312" s="5" t="str">
        <f>""</f>
        <v/>
      </c>
      <c r="W312" t="str">
        <f>"hyacinthcorp.saipan@gmail.com"</f>
        <v>hyacinthcorp.saipan@gmail.com</v>
      </c>
      <c r="X312" t="str">
        <f>"HYACINTH CORPORATION"</f>
        <v>HYACINTH CORPORATION</v>
      </c>
      <c r="Y312" t="str">
        <f>""</f>
        <v/>
      </c>
      <c r="Z312" t="str">
        <f>"PO BOX 502951"</f>
        <v>PO BOX 502951</v>
      </c>
      <c r="AA312" t="str">
        <f>""</f>
        <v/>
      </c>
      <c r="AB312" t="str">
        <f>"SAIPAN"</f>
        <v>SAIPAN</v>
      </c>
      <c r="AC312" t="str">
        <f t="shared" si="188"/>
        <v>MP</v>
      </c>
      <c r="AD312" t="str">
        <f t="shared" si="189"/>
        <v>96950</v>
      </c>
      <c r="AE312" t="str">
        <f t="shared" si="166"/>
        <v>UNITED STATES OF AMERICA</v>
      </c>
      <c r="AF312" t="str">
        <f>""</f>
        <v/>
      </c>
      <c r="AG312" s="4" t="str">
        <f>"16707880047"</f>
        <v>16707880047</v>
      </c>
      <c r="AH312" t="str">
        <f>""</f>
        <v/>
      </c>
      <c r="AI312" t="str">
        <f>"71132"</f>
        <v>71132</v>
      </c>
      <c r="AJ312" t="s">
        <v>79</v>
      </c>
      <c r="AK312" t="s">
        <v>79</v>
      </c>
      <c r="AL312" t="s">
        <v>80</v>
      </c>
      <c r="AM312" t="s">
        <v>79</v>
      </c>
      <c r="AP312" t="str">
        <f>"SET EVENT DESIGNER"</f>
        <v>SET EVENT DESIGNER</v>
      </c>
      <c r="AQ312" t="str">
        <f>"27-1027.00"</f>
        <v>27-1027.00</v>
      </c>
      <c r="AR312" t="str">
        <f>"Set and Exhibit Designers"</f>
        <v>Set and Exhibit Designers</v>
      </c>
      <c r="AS312" t="str">
        <f>"Manager"</f>
        <v>Manager</v>
      </c>
      <c r="AT312" t="s">
        <v>79</v>
      </c>
      <c r="AU312" t="str">
        <f>""</f>
        <v/>
      </c>
      <c r="AV312" t="str">
        <f>""</f>
        <v/>
      </c>
      <c r="AW312" t="s">
        <v>79</v>
      </c>
      <c r="AX312" t="str">
        <f>""</f>
        <v/>
      </c>
      <c r="AY312" t="s">
        <v>84</v>
      </c>
      <c r="BA312" t="s">
        <v>246</v>
      </c>
      <c r="BB312" t="s">
        <v>79</v>
      </c>
      <c r="BD312" t="s">
        <v>79</v>
      </c>
      <c r="BG312" t="s">
        <v>82</v>
      </c>
      <c r="BH312">
        <v>12</v>
      </c>
      <c r="BI312" t="s">
        <v>880</v>
      </c>
      <c r="BJ312" s="2" t="s">
        <v>881</v>
      </c>
      <c r="BK312" t="str">
        <f>"SAN ANTONIO VILLAGE"</f>
        <v>SAN ANTONIO VILLAGE</v>
      </c>
      <c r="BL312" t="str">
        <f>"PO BOX 502951"</f>
        <v>PO BOX 502951</v>
      </c>
      <c r="BM312" t="str">
        <f>"SAIPAN"</f>
        <v>SAIPAN</v>
      </c>
      <c r="BO312" t="s">
        <v>83</v>
      </c>
      <c r="BP312" s="4" t="str">
        <f t="shared" si="190"/>
        <v>96950</v>
      </c>
      <c r="BQ312" t="s">
        <v>79</v>
      </c>
      <c r="BR312" t="str">
        <f>"27-1027.00"</f>
        <v>27-1027.00</v>
      </c>
      <c r="BS312" t="s">
        <v>882</v>
      </c>
      <c r="BT312" s="3">
        <v>20.58</v>
      </c>
      <c r="BU312" t="s">
        <v>80</v>
      </c>
      <c r="BV312" t="s">
        <v>90</v>
      </c>
      <c r="BW312" t="s">
        <v>265</v>
      </c>
      <c r="BZ312" s="1">
        <v>45107</v>
      </c>
    </row>
    <row r="313" spans="1:78" ht="15" customHeight="1" x14ac:dyDescent="0.25">
      <c r="A313" t="s">
        <v>841</v>
      </c>
      <c r="B313" t="s">
        <v>94</v>
      </c>
      <c r="C313" s="1">
        <v>44841</v>
      </c>
      <c r="D313" s="1">
        <v>44881</v>
      </c>
      <c r="H313" t="s">
        <v>78</v>
      </c>
      <c r="I313" t="str">
        <f>"HERNANDO"</f>
        <v>HERNANDO</v>
      </c>
      <c r="J313" t="str">
        <f>"JANETTE"</f>
        <v>JANETTE</v>
      </c>
      <c r="K313" t="str">
        <f>"RUIZ"</f>
        <v>RUIZ</v>
      </c>
      <c r="L313" t="str">
        <f>"PRESIDENT"</f>
        <v>PRESIDENT</v>
      </c>
      <c r="M313" t="str">
        <f>"MSV BLDG 1499 BEACH ROAD CHALAN KANOA"</f>
        <v>MSV BLDG 1499 BEACH ROAD CHALAN KANOA</v>
      </c>
      <c r="N313" t="str">
        <f>"P.O. BOX 506118"</f>
        <v>P.O. BOX 506118</v>
      </c>
      <c r="O313" t="str">
        <f>"SAIPAN"</f>
        <v>SAIPAN</v>
      </c>
      <c r="P313" t="str">
        <f t="shared" si="186"/>
        <v>MP</v>
      </c>
      <c r="Q313" s="4" t="str">
        <f t="shared" si="187"/>
        <v>96950</v>
      </c>
      <c r="R313" t="str">
        <f t="shared" si="164"/>
        <v>UNITED STATES OF AMERICA</v>
      </c>
      <c r="S313" t="str">
        <f>""</f>
        <v/>
      </c>
      <c r="T313" s="5" t="str">
        <f>"16702351929"</f>
        <v>16702351929</v>
      </c>
      <c r="U313" t="str">
        <f>""</f>
        <v/>
      </c>
      <c r="V313" s="5" t="str">
        <f>""</f>
        <v/>
      </c>
      <c r="W313" t="str">
        <f>"jigghernando@yahoo.com"</f>
        <v>jigghernando@yahoo.com</v>
      </c>
      <c r="X313" t="str">
        <f>"MANTRADE COMPANY INCORPORATED"</f>
        <v>MANTRADE COMPANY INCORPORATED</v>
      </c>
      <c r="Y313" t="str">
        <f>"JIGZ BARBER SHOP AND BEAUTY SALON"</f>
        <v>JIGZ BARBER SHOP AND BEAUTY SALON</v>
      </c>
      <c r="Z313" t="str">
        <f>"MSV BLDG 1499 BEACH ROAD CHALAN KANOA"</f>
        <v>MSV BLDG 1499 BEACH ROAD CHALAN KANOA</v>
      </c>
      <c r="AA313" t="str">
        <f>"P.O. BOX 506118"</f>
        <v>P.O. BOX 506118</v>
      </c>
      <c r="AB313" t="str">
        <f>"SAIPAN"</f>
        <v>SAIPAN</v>
      </c>
      <c r="AC313" t="str">
        <f t="shared" si="188"/>
        <v>MP</v>
      </c>
      <c r="AD313" t="str">
        <f t="shared" si="189"/>
        <v>96950</v>
      </c>
      <c r="AE313" t="str">
        <f t="shared" si="166"/>
        <v>UNITED STATES OF AMERICA</v>
      </c>
      <c r="AF313" t="str">
        <f>""</f>
        <v/>
      </c>
      <c r="AG313" s="4" t="str">
        <f>"16702351929"</f>
        <v>16702351929</v>
      </c>
      <c r="AH313" t="str">
        <f>""</f>
        <v/>
      </c>
      <c r="AI313" t="str">
        <f>"812112"</f>
        <v>812112</v>
      </c>
      <c r="AJ313" t="s">
        <v>79</v>
      </c>
      <c r="AK313" t="s">
        <v>79</v>
      </c>
      <c r="AL313" t="s">
        <v>80</v>
      </c>
      <c r="AM313" t="s">
        <v>79</v>
      </c>
      <c r="AP313" t="str">
        <f>"BARBER AND ALL AROUND BEAUTICIAN"</f>
        <v>BARBER AND ALL AROUND BEAUTICIAN</v>
      </c>
      <c r="AQ313" t="str">
        <f>"39-5012.00"</f>
        <v>39-5012.00</v>
      </c>
      <c r="AR313" t="str">
        <f>"Hairdressers, Hairstylists, and Cosmetologists"</f>
        <v>Hairdressers, Hairstylists, and Cosmetologists</v>
      </c>
      <c r="AS313" t="str">
        <f>"PRESIDENT"</f>
        <v>PRESIDENT</v>
      </c>
      <c r="AT313" t="s">
        <v>79</v>
      </c>
      <c r="AU313" t="str">
        <f>""</f>
        <v/>
      </c>
      <c r="AV313" t="str">
        <f>""</f>
        <v/>
      </c>
      <c r="AW313" t="s">
        <v>79</v>
      </c>
      <c r="AX313" t="str">
        <f>""</f>
        <v/>
      </c>
      <c r="AY313" t="s">
        <v>84</v>
      </c>
      <c r="BA313" t="s">
        <v>80</v>
      </c>
      <c r="BB313" t="s">
        <v>79</v>
      </c>
      <c r="BD313" t="s">
        <v>79</v>
      </c>
      <c r="BG313" t="s">
        <v>82</v>
      </c>
      <c r="BH313">
        <v>18</v>
      </c>
      <c r="BI313" t="s">
        <v>842</v>
      </c>
      <c r="BJ313" t="s">
        <v>843</v>
      </c>
      <c r="BK313" t="str">
        <f>"JIGZ BARBER SHOP AND BEAUTY SALON"</f>
        <v>JIGZ BARBER SHOP AND BEAUTY SALON</v>
      </c>
      <c r="BL313" t="str">
        <f>"MSV BLDG 1499 BEACH ROAD CHALAN KANOA"</f>
        <v>MSV BLDG 1499 BEACH ROAD CHALAN KANOA</v>
      </c>
      <c r="BM313" t="str">
        <f>"SAIPAN"</f>
        <v>SAIPAN</v>
      </c>
      <c r="BO313" t="s">
        <v>83</v>
      </c>
      <c r="BP313" s="4" t="str">
        <f>"936950"</f>
        <v>936950</v>
      </c>
      <c r="BQ313" t="s">
        <v>79</v>
      </c>
      <c r="BR313" t="str">
        <f>"39-5012.00"</f>
        <v>39-5012.00</v>
      </c>
      <c r="BS313" t="s">
        <v>184</v>
      </c>
      <c r="BT313" s="3">
        <v>7.88</v>
      </c>
      <c r="BU313" t="s">
        <v>80</v>
      </c>
      <c r="BV313" t="s">
        <v>90</v>
      </c>
      <c r="BW313" t="s">
        <v>92</v>
      </c>
      <c r="BZ313" s="1">
        <v>45107</v>
      </c>
    </row>
    <row r="314" spans="1:78" ht="15" customHeight="1" x14ac:dyDescent="0.25">
      <c r="A314" t="s">
        <v>844</v>
      </c>
      <c r="B314" t="s">
        <v>94</v>
      </c>
      <c r="C314" s="1">
        <v>44841</v>
      </c>
      <c r="D314" s="1">
        <v>44881</v>
      </c>
      <c r="H314" t="s">
        <v>78</v>
      </c>
      <c r="I314" t="str">
        <f>"HAN"</f>
        <v>HAN</v>
      </c>
      <c r="J314" t="str">
        <f>"JOUNG SOON"</f>
        <v>JOUNG SOON</v>
      </c>
      <c r="K314" t="str">
        <f>""</f>
        <v/>
      </c>
      <c r="L314" t="str">
        <f>"CORPORATE SECRETARY"</f>
        <v>CORPORATE SECRETARY</v>
      </c>
      <c r="M314" t="str">
        <f>"PO BOX 506607"</f>
        <v>PO BOX 506607</v>
      </c>
      <c r="N314" t="str">
        <f>"ISA DRIVE PAPAGO VILLAGE"</f>
        <v>ISA DRIVE PAPAGO VILLAGE</v>
      </c>
      <c r="O314" t="str">
        <f>"SAIPAN"</f>
        <v>SAIPAN</v>
      </c>
      <c r="P314" t="str">
        <f t="shared" si="186"/>
        <v>MP</v>
      </c>
      <c r="Q314" s="4" t="str">
        <f t="shared" si="187"/>
        <v>96950</v>
      </c>
      <c r="R314" t="str">
        <f t="shared" si="164"/>
        <v>UNITED STATES OF AMERICA</v>
      </c>
      <c r="S314" t="str">
        <f>"NA"</f>
        <v>NA</v>
      </c>
      <c r="T314" s="5" t="str">
        <f>"16704831315"</f>
        <v>16704831315</v>
      </c>
      <c r="U314" t="str">
        <f>""</f>
        <v/>
      </c>
      <c r="V314" s="5" t="str">
        <f>""</f>
        <v/>
      </c>
      <c r="W314" t="str">
        <f>"wpmacademy96950@gmail.com"</f>
        <v>wpmacademy96950@gmail.com</v>
      </c>
      <c r="X314" t="str">
        <f>"WHOLE PERSON MISSION ACADEMY"</f>
        <v>WHOLE PERSON MISSION ACADEMY</v>
      </c>
      <c r="Y314" t="str">
        <f>""</f>
        <v/>
      </c>
      <c r="Z314" t="str">
        <f>"PO BOX 506607"</f>
        <v>PO BOX 506607</v>
      </c>
      <c r="AA314" t="str">
        <f>"ISA DRIVE PAPAGO VILLAGE"</f>
        <v>ISA DRIVE PAPAGO VILLAGE</v>
      </c>
      <c r="AB314" t="str">
        <f>"SAIPAN"</f>
        <v>SAIPAN</v>
      </c>
      <c r="AC314" t="str">
        <f t="shared" si="188"/>
        <v>MP</v>
      </c>
      <c r="AD314" t="str">
        <f t="shared" si="189"/>
        <v>96950</v>
      </c>
      <c r="AE314" t="str">
        <f t="shared" si="166"/>
        <v>UNITED STATES OF AMERICA</v>
      </c>
      <c r="AF314" t="str">
        <f>"NA"</f>
        <v>NA</v>
      </c>
      <c r="AG314" s="4" t="str">
        <f>"16704831315"</f>
        <v>16704831315</v>
      </c>
      <c r="AH314" t="str">
        <f>""</f>
        <v/>
      </c>
      <c r="AI314" t="str">
        <f>"611630"</f>
        <v>611630</v>
      </c>
      <c r="AJ314" t="s">
        <v>79</v>
      </c>
      <c r="AK314" t="s">
        <v>79</v>
      </c>
      <c r="AL314" t="s">
        <v>80</v>
      </c>
      <c r="AM314" t="s">
        <v>79</v>
      </c>
      <c r="AP314" t="str">
        <f>"SUPERVISOR-OFFICE AND ADMINISTRATIVE SUPPORT WORKERS"</f>
        <v>SUPERVISOR-OFFICE AND ADMINISTRATIVE SUPPORT WORKERS</v>
      </c>
      <c r="AQ314" t="str">
        <f>"43-1011.00"</f>
        <v>43-1011.00</v>
      </c>
      <c r="AR314" t="str">
        <f>"First-Line Supervisors of Office and Administrative Support Workers"</f>
        <v>First-Line Supervisors of Office and Administrative Support Workers</v>
      </c>
      <c r="AS314" t="str">
        <f>"SECRETARY"</f>
        <v>SECRETARY</v>
      </c>
      <c r="AT314" t="s">
        <v>79</v>
      </c>
      <c r="AU314" t="str">
        <f>""</f>
        <v/>
      </c>
      <c r="AV314" t="str">
        <f>""</f>
        <v/>
      </c>
      <c r="AW314" t="s">
        <v>79</v>
      </c>
      <c r="AX314" t="str">
        <f>""</f>
        <v/>
      </c>
      <c r="AY314" t="s">
        <v>124</v>
      </c>
      <c r="BA314" t="s">
        <v>206</v>
      </c>
      <c r="BB314" t="s">
        <v>79</v>
      </c>
      <c r="BD314" t="s">
        <v>79</v>
      </c>
      <c r="BG314" t="s">
        <v>82</v>
      </c>
      <c r="BH314">
        <v>12</v>
      </c>
      <c r="BI314" t="s">
        <v>206</v>
      </c>
      <c r="BJ314" t="s">
        <v>206</v>
      </c>
      <c r="BK314" t="str">
        <f>"WPM BUILDING LOT#Tract 22519-3 ISA DRIVE"</f>
        <v>WPM BUILDING LOT#Tract 22519-3 ISA DRIVE</v>
      </c>
      <c r="BL314" t="str">
        <f>"PAPAGO VILLAGE"</f>
        <v>PAPAGO VILLAGE</v>
      </c>
      <c r="BM314" t="str">
        <f>"SAIPAN"</f>
        <v>SAIPAN</v>
      </c>
      <c r="BO314" t="s">
        <v>83</v>
      </c>
      <c r="BP314" s="4" t="str">
        <f t="shared" ref="BP314:BP344" si="199">"96950"</f>
        <v>96950</v>
      </c>
      <c r="BQ314" t="s">
        <v>79</v>
      </c>
      <c r="BR314" t="str">
        <f>"43-1011.00"</f>
        <v>43-1011.00</v>
      </c>
      <c r="BS314" t="s">
        <v>845</v>
      </c>
      <c r="BT314" s="3">
        <v>14.93</v>
      </c>
      <c r="BU314" t="s">
        <v>80</v>
      </c>
      <c r="BV314" t="s">
        <v>90</v>
      </c>
      <c r="BW314" t="s">
        <v>92</v>
      </c>
      <c r="BZ314" s="1">
        <v>45107</v>
      </c>
    </row>
    <row r="315" spans="1:78" ht="15" customHeight="1" x14ac:dyDescent="0.25">
      <c r="A315" t="s">
        <v>846</v>
      </c>
      <c r="B315" t="s">
        <v>94</v>
      </c>
      <c r="C315" s="1">
        <v>44841</v>
      </c>
      <c r="D315" s="1">
        <v>44881</v>
      </c>
      <c r="H315" t="s">
        <v>78</v>
      </c>
      <c r="I315" t="str">
        <f>"CATALUNA"</f>
        <v>CATALUNA</v>
      </c>
      <c r="J315" t="str">
        <f>"FREDDIE"</f>
        <v>FREDDIE</v>
      </c>
      <c r="K315" t="str">
        <f>"ZAMORA"</f>
        <v>ZAMORA</v>
      </c>
      <c r="L315" t="str">
        <f>"ASSISTANT MANAGER"</f>
        <v>ASSISTANT MANAGER</v>
      </c>
      <c r="M315" t="str">
        <f>"P.O. BOX 3984"</f>
        <v>P.O. BOX 3984</v>
      </c>
      <c r="N315" t="str">
        <f>""</f>
        <v/>
      </c>
      <c r="O315" t="str">
        <f>"Saipan"</f>
        <v>Saipan</v>
      </c>
      <c r="P315" t="str">
        <f t="shared" si="186"/>
        <v>MP</v>
      </c>
      <c r="Q315" s="4" t="str">
        <f t="shared" si="187"/>
        <v>96950</v>
      </c>
      <c r="R315" t="str">
        <f t="shared" si="164"/>
        <v>UNITED STATES OF AMERICA</v>
      </c>
      <c r="S315" t="str">
        <f>"N/A"</f>
        <v>N/A</v>
      </c>
      <c r="T315" s="5" t="str">
        <f>"16702336927"</f>
        <v>16702336927</v>
      </c>
      <c r="U315" t="str">
        <f>""</f>
        <v/>
      </c>
      <c r="V315" s="5" t="str">
        <f>""</f>
        <v/>
      </c>
      <c r="W315" t="str">
        <f>"d.serve670@gmail.com"</f>
        <v>d.serve670@gmail.com</v>
      </c>
      <c r="X315" t="str">
        <f>"D-Serve, LLC"</f>
        <v>D-Serve, LLC</v>
      </c>
      <c r="Y315" t="str">
        <f>""</f>
        <v/>
      </c>
      <c r="Z315" t="str">
        <f>"P.O Box 503984"</f>
        <v>P.O Box 503984</v>
      </c>
      <c r="AA315" t="str">
        <f>""</f>
        <v/>
      </c>
      <c r="AB315" t="str">
        <f>"Saipan"</f>
        <v>Saipan</v>
      </c>
      <c r="AC315" t="str">
        <f t="shared" si="188"/>
        <v>MP</v>
      </c>
      <c r="AD315" t="str">
        <f t="shared" si="189"/>
        <v>96950</v>
      </c>
      <c r="AE315" t="str">
        <f t="shared" si="166"/>
        <v>UNITED STATES OF AMERICA</v>
      </c>
      <c r="AF315" t="str">
        <f>"N/A"</f>
        <v>N/A</v>
      </c>
      <c r="AG315" s="4" t="str">
        <f>"16702336927"</f>
        <v>16702336927</v>
      </c>
      <c r="AH315" t="str">
        <f>""</f>
        <v/>
      </c>
      <c r="AI315" t="str">
        <f>"23622"</f>
        <v>23622</v>
      </c>
      <c r="AJ315" t="s">
        <v>79</v>
      </c>
      <c r="AK315" t="s">
        <v>79</v>
      </c>
      <c r="AL315" t="s">
        <v>80</v>
      </c>
      <c r="AM315" t="s">
        <v>79</v>
      </c>
      <c r="AP315" t="str">
        <f>"MAINTENANCE WORKER"</f>
        <v>MAINTENANCE WORKER</v>
      </c>
      <c r="AQ315" t="str">
        <f>"49-9071.00"</f>
        <v>49-9071.00</v>
      </c>
      <c r="AR315" t="str">
        <f>"Maintenance and Repair Workers, General"</f>
        <v>Maintenance and Repair Workers, General</v>
      </c>
      <c r="AS315" t="str">
        <f>"MAINTENANCE MANAGER"</f>
        <v>MAINTENANCE MANAGER</v>
      </c>
      <c r="AT315" t="s">
        <v>79</v>
      </c>
      <c r="AU315" t="str">
        <f>""</f>
        <v/>
      </c>
      <c r="AV315" t="str">
        <f>""</f>
        <v/>
      </c>
      <c r="AW315" t="s">
        <v>79</v>
      </c>
      <c r="AX315" t="str">
        <f>""</f>
        <v/>
      </c>
      <c r="AY315" t="s">
        <v>84</v>
      </c>
      <c r="BA315" t="s">
        <v>80</v>
      </c>
      <c r="BB315" t="s">
        <v>79</v>
      </c>
      <c r="BD315" t="s">
        <v>79</v>
      </c>
      <c r="BG315" t="s">
        <v>82</v>
      </c>
      <c r="BH315">
        <v>24</v>
      </c>
      <c r="BI315" t="s">
        <v>847</v>
      </c>
      <c r="BJ315" s="2" t="s">
        <v>848</v>
      </c>
      <c r="BK315" t="str">
        <f>"SAN ANTONIO VILLAGE"</f>
        <v>SAN ANTONIO VILLAGE</v>
      </c>
      <c r="BL315" t="str">
        <f>""</f>
        <v/>
      </c>
      <c r="BM315" t="str">
        <f>"SAIPAN"</f>
        <v>SAIPAN</v>
      </c>
      <c r="BO315" t="s">
        <v>83</v>
      </c>
      <c r="BP315" s="4" t="str">
        <f t="shared" si="199"/>
        <v>96950</v>
      </c>
      <c r="BQ315" t="s">
        <v>79</v>
      </c>
      <c r="BR315" t="str">
        <f>"49-9071.00"</f>
        <v>49-9071.00</v>
      </c>
      <c r="BS315" t="s">
        <v>146</v>
      </c>
      <c r="BT315" s="3">
        <v>9.19</v>
      </c>
      <c r="BU315" t="s">
        <v>80</v>
      </c>
      <c r="BV315" t="s">
        <v>90</v>
      </c>
      <c r="BW315" t="s">
        <v>92</v>
      </c>
      <c r="BZ315" s="1">
        <v>45107</v>
      </c>
    </row>
    <row r="316" spans="1:78" ht="15" customHeight="1" x14ac:dyDescent="0.25">
      <c r="A316" t="s">
        <v>849</v>
      </c>
      <c r="B316" t="s">
        <v>94</v>
      </c>
      <c r="C316" s="1">
        <v>44841</v>
      </c>
      <c r="D316" s="1">
        <v>44881</v>
      </c>
      <c r="H316" t="s">
        <v>78</v>
      </c>
      <c r="I316" t="str">
        <f>"CATALUNA"</f>
        <v>CATALUNA</v>
      </c>
      <c r="J316" t="str">
        <f>"FREDDIE"</f>
        <v>FREDDIE</v>
      </c>
      <c r="K316" t="str">
        <f>"ZAMORA"</f>
        <v>ZAMORA</v>
      </c>
      <c r="L316" t="str">
        <f>"ASSISTANT MANAGER"</f>
        <v>ASSISTANT MANAGER</v>
      </c>
      <c r="M316" t="str">
        <f>"P.O. BOX 503984"</f>
        <v>P.O. BOX 503984</v>
      </c>
      <c r="N316" t="str">
        <f>""</f>
        <v/>
      </c>
      <c r="O316" t="str">
        <f>"SAIPAN"</f>
        <v>SAIPAN</v>
      </c>
      <c r="P316" t="str">
        <f t="shared" si="186"/>
        <v>MP</v>
      </c>
      <c r="Q316" s="4" t="str">
        <f t="shared" si="187"/>
        <v>96950</v>
      </c>
      <c r="R316" t="str">
        <f t="shared" si="164"/>
        <v>UNITED STATES OF AMERICA</v>
      </c>
      <c r="S316" t="str">
        <f>"N/A"</f>
        <v>N/A</v>
      </c>
      <c r="T316" s="5" t="str">
        <f>"16702336927"</f>
        <v>16702336927</v>
      </c>
      <c r="U316" t="str">
        <f>""</f>
        <v/>
      </c>
      <c r="V316" s="5" t="str">
        <f>""</f>
        <v/>
      </c>
      <c r="W316" t="str">
        <f>"d.serve670@gmail.com"</f>
        <v>d.serve670@gmail.com</v>
      </c>
      <c r="X316" t="str">
        <f>"D-SERVE, LLC."</f>
        <v>D-SERVE, LLC.</v>
      </c>
      <c r="Y316" t="str">
        <f>""</f>
        <v/>
      </c>
      <c r="Z316" t="str">
        <f>"P.O. BOX 503984"</f>
        <v>P.O. BOX 503984</v>
      </c>
      <c r="AA316" t="str">
        <f>""</f>
        <v/>
      </c>
      <c r="AB316" t="str">
        <f>"SAIPAN"</f>
        <v>SAIPAN</v>
      </c>
      <c r="AC316" t="str">
        <f t="shared" si="188"/>
        <v>MP</v>
      </c>
      <c r="AD316" t="str">
        <f t="shared" si="189"/>
        <v>96950</v>
      </c>
      <c r="AE316" t="str">
        <f t="shared" si="166"/>
        <v>UNITED STATES OF AMERICA</v>
      </c>
      <c r="AF316" t="str">
        <f>"N/A"</f>
        <v>N/A</v>
      </c>
      <c r="AG316" s="4" t="str">
        <f>"16702336927"</f>
        <v>16702336927</v>
      </c>
      <c r="AH316" t="str">
        <f>""</f>
        <v/>
      </c>
      <c r="AI316" t="str">
        <f>"23622"</f>
        <v>23622</v>
      </c>
      <c r="AJ316" t="s">
        <v>79</v>
      </c>
      <c r="AK316" t="s">
        <v>79</v>
      </c>
      <c r="AL316" t="s">
        <v>80</v>
      </c>
      <c r="AM316" t="s">
        <v>79</v>
      </c>
      <c r="AP316" t="str">
        <f>"MAINTENANCE ASSISTANT"</f>
        <v>MAINTENANCE ASSISTANT</v>
      </c>
      <c r="AQ316" t="str">
        <f>"49-9098.00"</f>
        <v>49-9098.00</v>
      </c>
      <c r="AR316" t="str">
        <f>"Helpers--Installation, Maintenance, and Repair Workers"</f>
        <v>Helpers--Installation, Maintenance, and Repair Workers</v>
      </c>
      <c r="AS316" t="str">
        <f>"FORMAN"</f>
        <v>FORMAN</v>
      </c>
      <c r="AT316" t="s">
        <v>79</v>
      </c>
      <c r="AU316" t="str">
        <f>""</f>
        <v/>
      </c>
      <c r="AV316" t="str">
        <f>""</f>
        <v/>
      </c>
      <c r="AW316" t="s">
        <v>79</v>
      </c>
      <c r="AX316" t="str">
        <f>""</f>
        <v/>
      </c>
      <c r="AY316" t="s">
        <v>84</v>
      </c>
      <c r="BA316" t="s">
        <v>850</v>
      </c>
      <c r="BB316" t="s">
        <v>79</v>
      </c>
      <c r="BD316" t="s">
        <v>79</v>
      </c>
      <c r="BG316" t="s">
        <v>82</v>
      </c>
      <c r="BH316">
        <v>12</v>
      </c>
      <c r="BI316" t="s">
        <v>851</v>
      </c>
      <c r="BJ316" s="2" t="s">
        <v>852</v>
      </c>
      <c r="BK316" t="str">
        <f>"TANDUKI ROAD LOWER DANDAN"</f>
        <v>TANDUKI ROAD LOWER DANDAN</v>
      </c>
      <c r="BL316" t="str">
        <f>""</f>
        <v/>
      </c>
      <c r="BM316" t="str">
        <f>"SAIPAN"</f>
        <v>SAIPAN</v>
      </c>
      <c r="BO316" t="s">
        <v>83</v>
      </c>
      <c r="BP316" s="4" t="str">
        <f t="shared" si="199"/>
        <v>96950</v>
      </c>
      <c r="BQ316" t="s">
        <v>79</v>
      </c>
      <c r="BR316" t="str">
        <f>"47-3019.00"</f>
        <v>47-3019.00</v>
      </c>
      <c r="BS316" t="s">
        <v>853</v>
      </c>
      <c r="BT316" s="3">
        <v>10.78</v>
      </c>
      <c r="BU316" t="s">
        <v>80</v>
      </c>
      <c r="BV316" t="s">
        <v>90</v>
      </c>
      <c r="BW316" t="s">
        <v>92</v>
      </c>
      <c r="BZ316" s="1">
        <v>45107</v>
      </c>
    </row>
    <row r="317" spans="1:78" ht="15" customHeight="1" x14ac:dyDescent="0.25">
      <c r="A317" t="s">
        <v>854</v>
      </c>
      <c r="B317" t="s">
        <v>94</v>
      </c>
      <c r="C317" s="1">
        <v>44841</v>
      </c>
      <c r="D317" s="1">
        <v>44881</v>
      </c>
      <c r="H317" t="s">
        <v>78</v>
      </c>
      <c r="I317" t="str">
        <f>"Gerrard"</f>
        <v>Gerrard</v>
      </c>
      <c r="J317" t="str">
        <f>"Sachiko"</f>
        <v>Sachiko</v>
      </c>
      <c r="K317" t="str">
        <f>"N."</f>
        <v>N.</v>
      </c>
      <c r="L317" t="str">
        <f>"Acting General Manager"</f>
        <v>Acting General Manager</v>
      </c>
      <c r="M317" t="str">
        <f>"9543 Chalan Pale Arnold Road, San Roque"</f>
        <v>9543 Chalan Pale Arnold Road, San Roque</v>
      </c>
      <c r="N317" t="str">
        <f>""</f>
        <v/>
      </c>
      <c r="O317" t="str">
        <f>"Saipan"</f>
        <v>Saipan</v>
      </c>
      <c r="P317" t="str">
        <f t="shared" si="186"/>
        <v>MP</v>
      </c>
      <c r="Q317" s="4" t="str">
        <f t="shared" si="187"/>
        <v>96950</v>
      </c>
      <c r="R317" t="str">
        <f t="shared" si="164"/>
        <v>UNITED STATES OF AMERICA</v>
      </c>
      <c r="S317" t="str">
        <f>""</f>
        <v/>
      </c>
      <c r="T317" s="5" t="str">
        <f>"16703221234"</f>
        <v>16703221234</v>
      </c>
      <c r="U317" t="str">
        <f>""</f>
        <v/>
      </c>
      <c r="V317" s="5" t="str">
        <f>""</f>
        <v/>
      </c>
      <c r="W317" t="str">
        <f>"hradmin@aquaresortsaipan.com"</f>
        <v>hradmin@aquaresortsaipan.com</v>
      </c>
      <c r="X317" t="str">
        <f>"Ken Aqua Hotel &amp; Resort, Inc."</f>
        <v>Ken Aqua Hotel &amp; Resort, Inc.</v>
      </c>
      <c r="Y317" t="str">
        <f>"Aqua Resort Club, Saipan"</f>
        <v>Aqua Resort Club, Saipan</v>
      </c>
      <c r="Z317" t="str">
        <f>"9543 Chalan Pale Arnold Road, San Roque"</f>
        <v>9543 Chalan Pale Arnold Road, San Roque</v>
      </c>
      <c r="AA317" t="str">
        <f>""</f>
        <v/>
      </c>
      <c r="AB317" t="str">
        <f>"Saipan"</f>
        <v>Saipan</v>
      </c>
      <c r="AC317" t="str">
        <f t="shared" si="188"/>
        <v>MP</v>
      </c>
      <c r="AD317" t="str">
        <f t="shared" si="189"/>
        <v>96950</v>
      </c>
      <c r="AE317" t="str">
        <f t="shared" si="166"/>
        <v>UNITED STATES OF AMERICA</v>
      </c>
      <c r="AF317" t="str">
        <f>""</f>
        <v/>
      </c>
      <c r="AG317" s="4" t="str">
        <f>"16703221234"</f>
        <v>16703221234</v>
      </c>
      <c r="AH317" t="str">
        <f>""</f>
        <v/>
      </c>
      <c r="AI317" t="str">
        <f>"721110"</f>
        <v>721110</v>
      </c>
      <c r="AJ317" t="s">
        <v>79</v>
      </c>
      <c r="AK317" t="s">
        <v>79</v>
      </c>
      <c r="AL317" t="s">
        <v>80</v>
      </c>
      <c r="AM317" t="s">
        <v>79</v>
      </c>
      <c r="AP317" t="str">
        <f>"Pastry Baker"</f>
        <v>Pastry Baker</v>
      </c>
      <c r="AQ317" t="str">
        <f>"51-3011.00"</f>
        <v>51-3011.00</v>
      </c>
      <c r="AR317" t="str">
        <f>"Bakers"</f>
        <v>Bakers</v>
      </c>
      <c r="AS317" t="str">
        <f>"Sous Chef, Executive Chef"</f>
        <v>Sous Chef, Executive Chef</v>
      </c>
      <c r="AT317" t="s">
        <v>79</v>
      </c>
      <c r="AU317" t="str">
        <f>""</f>
        <v/>
      </c>
      <c r="AV317" t="str">
        <f>""</f>
        <v/>
      </c>
      <c r="AW317" t="s">
        <v>79</v>
      </c>
      <c r="AX317" t="str">
        <f>""</f>
        <v/>
      </c>
      <c r="AY317" t="s">
        <v>84</v>
      </c>
      <c r="BA317" t="s">
        <v>80</v>
      </c>
      <c r="BB317" t="s">
        <v>79</v>
      </c>
      <c r="BD317" t="s">
        <v>79</v>
      </c>
      <c r="BG317" t="s">
        <v>82</v>
      </c>
      <c r="BH317">
        <v>12</v>
      </c>
      <c r="BI317" t="s">
        <v>855</v>
      </c>
      <c r="BJ317" t="s">
        <v>856</v>
      </c>
      <c r="BK317" t="str">
        <f>"9543 Chalan Pale Arnold Road, San Roque"</f>
        <v>9543 Chalan Pale Arnold Road, San Roque</v>
      </c>
      <c r="BL317" t="str">
        <f>""</f>
        <v/>
      </c>
      <c r="BM317" t="str">
        <f>"Saipan"</f>
        <v>Saipan</v>
      </c>
      <c r="BO317" t="s">
        <v>83</v>
      </c>
      <c r="BP317" s="4" t="str">
        <f t="shared" si="199"/>
        <v>96950</v>
      </c>
      <c r="BQ317" t="s">
        <v>79</v>
      </c>
      <c r="BR317" t="str">
        <f>"51-3011.00"</f>
        <v>51-3011.00</v>
      </c>
      <c r="BS317" t="s">
        <v>331</v>
      </c>
      <c r="BT317" s="3">
        <v>8.19</v>
      </c>
      <c r="BU317" t="s">
        <v>80</v>
      </c>
      <c r="BV317" t="s">
        <v>90</v>
      </c>
      <c r="BW317" t="s">
        <v>92</v>
      </c>
      <c r="BZ317" s="1">
        <v>45107</v>
      </c>
    </row>
    <row r="318" spans="1:78" ht="15" customHeight="1" x14ac:dyDescent="0.25">
      <c r="A318" t="s">
        <v>857</v>
      </c>
      <c r="B318" t="s">
        <v>94</v>
      </c>
      <c r="C318" s="1">
        <v>44841</v>
      </c>
      <c r="D318" s="1">
        <v>44881</v>
      </c>
      <c r="H318" t="s">
        <v>78</v>
      </c>
      <c r="I318" t="str">
        <f>"Sin"</f>
        <v>Sin</v>
      </c>
      <c r="J318" t="str">
        <f>"Byung"</f>
        <v>Byung</v>
      </c>
      <c r="K318" t="str">
        <f>""</f>
        <v/>
      </c>
      <c r="L318" t="str">
        <f>"Director"</f>
        <v>Director</v>
      </c>
      <c r="M318" t="str">
        <f>"PO Box 500809"</f>
        <v>PO Box 500809</v>
      </c>
      <c r="N318" t="str">
        <f>""</f>
        <v/>
      </c>
      <c r="O318" t="str">
        <f>"Saipan"</f>
        <v>Saipan</v>
      </c>
      <c r="P318" t="str">
        <f t="shared" si="186"/>
        <v>MP</v>
      </c>
      <c r="Q318" s="4" t="str">
        <f t="shared" si="187"/>
        <v>96950</v>
      </c>
      <c r="R318" t="str">
        <f t="shared" si="164"/>
        <v>UNITED STATES OF AMERICA</v>
      </c>
      <c r="S318" t="str">
        <f>""</f>
        <v/>
      </c>
      <c r="T318" s="5" t="str">
        <f>"16702877733"</f>
        <v>16702877733</v>
      </c>
      <c r="U318" t="str">
        <f>""</f>
        <v/>
      </c>
      <c r="V318" s="5" t="str">
        <f>""</f>
        <v/>
      </c>
      <c r="W318" t="str">
        <f>"byungsin5000@gmail.com"</f>
        <v>byungsin5000@gmail.com</v>
      </c>
      <c r="X318" t="str">
        <f>"J &amp; Y Corporation"</f>
        <v>J &amp; Y Corporation</v>
      </c>
      <c r="Y318" t="str">
        <f>"Eastern"</f>
        <v>Eastern</v>
      </c>
      <c r="Z318" t="str">
        <f>"Orchid street Garapan"</f>
        <v>Orchid street Garapan</v>
      </c>
      <c r="AA318" t="str">
        <f>""</f>
        <v/>
      </c>
      <c r="AB318" t="str">
        <f>"Saipan"</f>
        <v>Saipan</v>
      </c>
      <c r="AC318" t="str">
        <f t="shared" si="188"/>
        <v>MP</v>
      </c>
      <c r="AD318" t="str">
        <f t="shared" si="189"/>
        <v>96950</v>
      </c>
      <c r="AE318" t="str">
        <f t="shared" si="166"/>
        <v>UNITED STATES OF AMERICA</v>
      </c>
      <c r="AF318" t="str">
        <f>""</f>
        <v/>
      </c>
      <c r="AG318" s="4" t="str">
        <f>"16702336655"</f>
        <v>16702336655</v>
      </c>
      <c r="AH318" t="str">
        <f>""</f>
        <v/>
      </c>
      <c r="AI318" t="str">
        <f>"722410"</f>
        <v>722410</v>
      </c>
      <c r="AJ318" t="s">
        <v>79</v>
      </c>
      <c r="AK318" t="s">
        <v>79</v>
      </c>
      <c r="AL318" t="s">
        <v>80</v>
      </c>
      <c r="AM318" t="s">
        <v>79</v>
      </c>
      <c r="AP318" t="str">
        <f>"Cook"</f>
        <v>Cook</v>
      </c>
      <c r="AQ318" t="str">
        <f>"35-2019.00"</f>
        <v>35-2019.00</v>
      </c>
      <c r="AR318" t="str">
        <f>"Cooks, All Other"</f>
        <v>Cooks, All Other</v>
      </c>
      <c r="AS318" t="str">
        <f>"Director"</f>
        <v>Director</v>
      </c>
      <c r="AT318" t="s">
        <v>79</v>
      </c>
      <c r="AU318" t="str">
        <f>""</f>
        <v/>
      </c>
      <c r="AV318" t="str">
        <f>""</f>
        <v/>
      </c>
      <c r="AW318" t="s">
        <v>79</v>
      </c>
      <c r="AX318" t="str">
        <f>""</f>
        <v/>
      </c>
      <c r="AY318" t="s">
        <v>81</v>
      </c>
      <c r="BA318" t="s">
        <v>119</v>
      </c>
      <c r="BB318" t="s">
        <v>79</v>
      </c>
      <c r="BD318" t="s">
        <v>79</v>
      </c>
      <c r="BG318" t="s">
        <v>79</v>
      </c>
      <c r="BJ318" t="s">
        <v>161</v>
      </c>
      <c r="BK318" t="str">
        <f>"Orchid street, Garapan"</f>
        <v>Orchid street, Garapan</v>
      </c>
      <c r="BL318" t="str">
        <f>""</f>
        <v/>
      </c>
      <c r="BM318" t="str">
        <f>"Saipan"</f>
        <v>Saipan</v>
      </c>
      <c r="BO318" t="s">
        <v>83</v>
      </c>
      <c r="BP318" s="4" t="str">
        <f t="shared" si="199"/>
        <v>96950</v>
      </c>
      <c r="BQ318" t="s">
        <v>79</v>
      </c>
      <c r="BR318" t="str">
        <f>"35-2014.00"</f>
        <v>35-2014.00</v>
      </c>
      <c r="BS318" t="s">
        <v>117</v>
      </c>
      <c r="BT318" s="3">
        <v>8.5500000000000007</v>
      </c>
      <c r="BU318" t="s">
        <v>80</v>
      </c>
      <c r="BV318" t="s">
        <v>90</v>
      </c>
      <c r="BW318" t="s">
        <v>92</v>
      </c>
      <c r="BZ318" s="1">
        <v>45107</v>
      </c>
    </row>
    <row r="319" spans="1:78" ht="15" customHeight="1" x14ac:dyDescent="0.25">
      <c r="A319" t="s">
        <v>858</v>
      </c>
      <c r="B319" t="s">
        <v>94</v>
      </c>
      <c r="C319" s="1">
        <v>44841</v>
      </c>
      <c r="D319" s="1">
        <v>44881</v>
      </c>
      <c r="H319" t="s">
        <v>78</v>
      </c>
      <c r="I319" t="str">
        <f>"Walker"</f>
        <v>Walker</v>
      </c>
      <c r="J319" t="str">
        <f>"Shaohong"</f>
        <v>Shaohong</v>
      </c>
      <c r="K319" t="str">
        <f>"C."</f>
        <v>C.</v>
      </c>
      <c r="L319" t="str">
        <f>"Sewing Machine operator"</f>
        <v>Sewing Machine operator</v>
      </c>
      <c r="M319" t="str">
        <f>"MOOTY STREET GARAPAN"</f>
        <v>MOOTY STREET GARAPAN</v>
      </c>
      <c r="N319" t="str">
        <f>""</f>
        <v/>
      </c>
      <c r="O319" t="str">
        <f>"Saipan"</f>
        <v>Saipan</v>
      </c>
      <c r="P319" t="str">
        <f t="shared" si="186"/>
        <v>MP</v>
      </c>
      <c r="Q319" s="4" t="str">
        <f t="shared" si="187"/>
        <v>96950</v>
      </c>
      <c r="R319" t="str">
        <f t="shared" si="164"/>
        <v>UNITED STATES OF AMERICA</v>
      </c>
      <c r="S319" t="str">
        <f>""</f>
        <v/>
      </c>
      <c r="T319" s="5" t="str">
        <f>"16702351388"</f>
        <v>16702351388</v>
      </c>
      <c r="U319" t="str">
        <f>""</f>
        <v/>
      </c>
      <c r="V319" s="5" t="str">
        <f>""</f>
        <v/>
      </c>
      <c r="W319" t="str">
        <f>"rhtishao@gmail.com"</f>
        <v>rhtishao@gmail.com</v>
      </c>
      <c r="X319" t="str">
        <f>"Wen Jian Corporation"</f>
        <v>Wen Jian Corporation</v>
      </c>
      <c r="Y319" t="str">
        <f>"Aren Dress Shop"</f>
        <v>Aren Dress Shop</v>
      </c>
      <c r="Z319" t="str">
        <f>"P.O.Box 504339 CK"</f>
        <v>P.O.Box 504339 CK</v>
      </c>
      <c r="AA319" t="str">
        <f>""</f>
        <v/>
      </c>
      <c r="AB319" t="str">
        <f>"Saipan"</f>
        <v>Saipan</v>
      </c>
      <c r="AC319" t="str">
        <f t="shared" si="188"/>
        <v>MP</v>
      </c>
      <c r="AD319" t="str">
        <f t="shared" si="189"/>
        <v>96950</v>
      </c>
      <c r="AE319" t="str">
        <f t="shared" si="166"/>
        <v>UNITED STATES OF AMERICA</v>
      </c>
      <c r="AF319" t="str">
        <f>""</f>
        <v/>
      </c>
      <c r="AG319" s="4" t="str">
        <f>"16702351388"</f>
        <v>16702351388</v>
      </c>
      <c r="AH319" t="str">
        <f>""</f>
        <v/>
      </c>
      <c r="AI319" t="str">
        <f>"448190"</f>
        <v>448190</v>
      </c>
      <c r="AJ319" t="s">
        <v>79</v>
      </c>
      <c r="AK319" t="s">
        <v>79</v>
      </c>
      <c r="AL319" t="s">
        <v>80</v>
      </c>
      <c r="AM319" t="s">
        <v>79</v>
      </c>
      <c r="AP319" t="str">
        <f>"Sewing Machine Operator"</f>
        <v>Sewing Machine Operator</v>
      </c>
      <c r="AQ319" t="str">
        <f>"51-6052.00"</f>
        <v>51-6052.00</v>
      </c>
      <c r="AR319" t="str">
        <f>"Tailors, Dressmakers, and Custom Sewers"</f>
        <v>Tailors, Dressmakers, and Custom Sewers</v>
      </c>
      <c r="AS319" t="str">
        <f>"N/a"</f>
        <v>N/a</v>
      </c>
      <c r="AT319" t="s">
        <v>79</v>
      </c>
      <c r="AU319" t="str">
        <f>""</f>
        <v/>
      </c>
      <c r="AV319" t="str">
        <f>""</f>
        <v/>
      </c>
      <c r="AW319" t="s">
        <v>79</v>
      </c>
      <c r="AX319" t="str">
        <f>""</f>
        <v/>
      </c>
      <c r="AY319" t="s">
        <v>84</v>
      </c>
      <c r="BA319" t="s">
        <v>859</v>
      </c>
      <c r="BB319" t="s">
        <v>79</v>
      </c>
      <c r="BD319" t="s">
        <v>79</v>
      </c>
      <c r="BG319" t="s">
        <v>82</v>
      </c>
      <c r="BH319">
        <v>6</v>
      </c>
      <c r="BI319" t="s">
        <v>860</v>
      </c>
      <c r="BJ319" t="s">
        <v>81</v>
      </c>
      <c r="BK319" t="str">
        <f>"san Vicente Loop road"</f>
        <v>san Vicente Loop road</v>
      </c>
      <c r="BL319" t="str">
        <f>""</f>
        <v/>
      </c>
      <c r="BM319" t="str">
        <f>"Saipan"</f>
        <v>Saipan</v>
      </c>
      <c r="BO319" t="s">
        <v>83</v>
      </c>
      <c r="BP319" s="4" t="str">
        <f t="shared" si="199"/>
        <v>96950</v>
      </c>
      <c r="BQ319" t="s">
        <v>79</v>
      </c>
      <c r="BR319" t="str">
        <f>"51-6031.00"</f>
        <v>51-6031.00</v>
      </c>
      <c r="BS319" t="s">
        <v>861</v>
      </c>
      <c r="BT319" s="3">
        <v>8.0299999999999994</v>
      </c>
      <c r="BU319" t="s">
        <v>80</v>
      </c>
      <c r="BV319" t="s">
        <v>90</v>
      </c>
      <c r="BW319" t="s">
        <v>92</v>
      </c>
      <c r="BZ319" s="1">
        <v>45107</v>
      </c>
    </row>
    <row r="320" spans="1:78" ht="15" customHeight="1" x14ac:dyDescent="0.25">
      <c r="A320" t="s">
        <v>862</v>
      </c>
      <c r="B320" t="s">
        <v>94</v>
      </c>
      <c r="C320" s="1">
        <v>44841</v>
      </c>
      <c r="D320" s="1">
        <v>44881</v>
      </c>
      <c r="H320" t="s">
        <v>78</v>
      </c>
      <c r="I320" t="str">
        <f>"AVENDANO"</f>
        <v>AVENDANO</v>
      </c>
      <c r="J320" t="str">
        <f>"FIDELISA"</f>
        <v>FIDELISA</v>
      </c>
      <c r="K320" t="str">
        <f>"CAL"</f>
        <v>CAL</v>
      </c>
      <c r="L320" t="str">
        <f>"AUTHORIZED REPRESENTATIVE"</f>
        <v>AUTHORIZED REPRESENTATIVE</v>
      </c>
      <c r="M320" t="str">
        <f>"CHALAN PALE ARNOLD, CHALAN LAU LAU"</f>
        <v>CHALAN PALE ARNOLD, CHALAN LAU LAU</v>
      </c>
      <c r="N320" t="str">
        <f>"P.O. BOX 503024"</f>
        <v>P.O. BOX 503024</v>
      </c>
      <c r="O320" t="str">
        <f>"SAIPAN"</f>
        <v>SAIPAN</v>
      </c>
      <c r="P320" t="str">
        <f t="shared" si="186"/>
        <v>MP</v>
      </c>
      <c r="Q320" s="4" t="str">
        <f t="shared" si="187"/>
        <v>96950</v>
      </c>
      <c r="R320" t="str">
        <f t="shared" si="164"/>
        <v>UNITED STATES OF AMERICA</v>
      </c>
      <c r="S320" t="str">
        <f>"N/A"</f>
        <v>N/A</v>
      </c>
      <c r="T320" s="5" t="str">
        <f>"16702346278"</f>
        <v>16702346278</v>
      </c>
      <c r="U320" t="str">
        <f>""</f>
        <v/>
      </c>
      <c r="V320" s="5" t="str">
        <f>""</f>
        <v/>
      </c>
      <c r="W320" t="str">
        <f>"cnmicw12019@gmail.com"</f>
        <v>cnmicw12019@gmail.com</v>
      </c>
      <c r="X320" t="str">
        <f>"FREDDIE SAINTS"</f>
        <v>FREDDIE SAINTS</v>
      </c>
      <c r="Y320" t="str">
        <f>"FREKAT PRODUCTIONS"</f>
        <v>FREKAT PRODUCTIONS</v>
      </c>
      <c r="Z320" t="str">
        <f>"CHALAN PALE ARNOLD, SAN ROQUE"</f>
        <v>CHALAN PALE ARNOLD, SAN ROQUE</v>
      </c>
      <c r="AA320" t="str">
        <f>"PMB 934 BOX 10000"</f>
        <v>PMB 934 BOX 10000</v>
      </c>
      <c r="AB320" t="str">
        <f>"SAIPAN"</f>
        <v>SAIPAN</v>
      </c>
      <c r="AC320" t="str">
        <f t="shared" si="188"/>
        <v>MP</v>
      </c>
      <c r="AD320" t="str">
        <f t="shared" si="189"/>
        <v>96950</v>
      </c>
      <c r="AE320" t="str">
        <f t="shared" si="166"/>
        <v>UNITED STATES OF AMERICA</v>
      </c>
      <c r="AF320" t="str">
        <f>"N/A"</f>
        <v>N/A</v>
      </c>
      <c r="AG320" s="4" t="str">
        <f>"16702864733"</f>
        <v>16702864733</v>
      </c>
      <c r="AH320" t="str">
        <f>""</f>
        <v/>
      </c>
      <c r="AI320" t="str">
        <f>"711130"</f>
        <v>711130</v>
      </c>
      <c r="AJ320" t="s">
        <v>79</v>
      </c>
      <c r="AK320" t="s">
        <v>79</v>
      </c>
      <c r="AL320" t="s">
        <v>80</v>
      </c>
      <c r="AM320" t="s">
        <v>79</v>
      </c>
      <c r="AP320" t="str">
        <f>"MUSICIAN"</f>
        <v>MUSICIAN</v>
      </c>
      <c r="AQ320" t="str">
        <f>"27-2042.00"</f>
        <v>27-2042.00</v>
      </c>
      <c r="AR320" t="str">
        <f>"Musicians and Singers"</f>
        <v>Musicians and Singers</v>
      </c>
      <c r="AS320" t="str">
        <f>"MANAGER"</f>
        <v>MANAGER</v>
      </c>
      <c r="AT320" t="s">
        <v>79</v>
      </c>
      <c r="AU320" t="str">
        <f>""</f>
        <v/>
      </c>
      <c r="AV320" t="str">
        <f>""</f>
        <v/>
      </c>
      <c r="AW320" t="s">
        <v>79</v>
      </c>
      <c r="AX320" t="str">
        <f>""</f>
        <v/>
      </c>
      <c r="AY320" t="s">
        <v>84</v>
      </c>
      <c r="BA320" t="s">
        <v>80</v>
      </c>
      <c r="BB320" t="s">
        <v>79</v>
      </c>
      <c r="BD320" t="s">
        <v>79</v>
      </c>
      <c r="BG320" t="s">
        <v>82</v>
      </c>
      <c r="BH320">
        <v>24</v>
      </c>
      <c r="BI320" t="s">
        <v>863</v>
      </c>
      <c r="BJ320" t="s">
        <v>864</v>
      </c>
      <c r="BK320" t="str">
        <f>"CHALAN PALE ROAD, AS MATUIS"</f>
        <v>CHALAN PALE ROAD, AS MATUIS</v>
      </c>
      <c r="BL320" t="str">
        <f>"N/A"</f>
        <v>N/A</v>
      </c>
      <c r="BM320" t="str">
        <f>"SAIPAN"</f>
        <v>SAIPAN</v>
      </c>
      <c r="BO320" t="s">
        <v>83</v>
      </c>
      <c r="BP320" s="4" t="str">
        <f t="shared" si="199"/>
        <v>96950</v>
      </c>
      <c r="BQ320" t="s">
        <v>79</v>
      </c>
      <c r="BR320" t="str">
        <f>"27-2042.00"</f>
        <v>27-2042.00</v>
      </c>
      <c r="BS320" t="s">
        <v>865</v>
      </c>
      <c r="BT320" s="3">
        <v>28.19</v>
      </c>
      <c r="BU320" t="s">
        <v>80</v>
      </c>
      <c r="BV320" t="s">
        <v>90</v>
      </c>
      <c r="BW320" t="s">
        <v>265</v>
      </c>
      <c r="BZ320" s="1">
        <v>45107</v>
      </c>
    </row>
    <row r="321" spans="1:78" ht="15" customHeight="1" x14ac:dyDescent="0.25">
      <c r="A321" t="s">
        <v>833</v>
      </c>
      <c r="B321" t="s">
        <v>94</v>
      </c>
      <c r="C321" s="1">
        <v>44840</v>
      </c>
      <c r="D321" s="1">
        <v>44881</v>
      </c>
      <c r="H321" t="s">
        <v>78</v>
      </c>
      <c r="I321" t="str">
        <f>"RAMOS"</f>
        <v>RAMOS</v>
      </c>
      <c r="J321" t="str">
        <f>"GIA"</f>
        <v>GIA</v>
      </c>
      <c r="K321" t="str">
        <f>"BLANCAFLOR"</f>
        <v>BLANCAFLOR</v>
      </c>
      <c r="L321" t="str">
        <f>"PRESIDENT"</f>
        <v>PRESIDENT</v>
      </c>
      <c r="M321" t="str">
        <f>"PO BOX 9663"</f>
        <v>PO BOX 9663</v>
      </c>
      <c r="N321" t="str">
        <f>""</f>
        <v/>
      </c>
      <c r="O321" t="str">
        <f>"TAMUNING"</f>
        <v>TAMUNING</v>
      </c>
      <c r="P321" t="str">
        <f>"GU"</f>
        <v>GU</v>
      </c>
      <c r="Q321" s="4" t="str">
        <f>"96931"</f>
        <v>96931</v>
      </c>
      <c r="R321" t="str">
        <f t="shared" si="164"/>
        <v>UNITED STATES OF AMERICA</v>
      </c>
      <c r="S321" t="str">
        <f>"N/A"</f>
        <v>N/A</v>
      </c>
      <c r="T321" s="5" t="str">
        <f>"16716498746"</f>
        <v>16716498746</v>
      </c>
      <c r="U321" t="str">
        <f>"203"</f>
        <v>203</v>
      </c>
      <c r="V321" s="5" t="str">
        <f>""</f>
        <v/>
      </c>
      <c r="W321" t="str">
        <f>"admin@hhcare.co"</f>
        <v>admin@hhcare.co</v>
      </c>
      <c r="X321" t="str">
        <f>"TRI ENTERPRISES, INC."</f>
        <v>TRI ENTERPRISES, INC.</v>
      </c>
      <c r="Y321" t="str">
        <f>"Marianas Visiting Nurses"</f>
        <v>Marianas Visiting Nurses</v>
      </c>
      <c r="Z321" t="str">
        <f>"BRI BUILDING KOPA DI ORU ST. GARAPAN"</f>
        <v>BRI BUILDING KOPA DI ORU ST. GARAPAN</v>
      </c>
      <c r="AA321" t="str">
        <f>"SUITE 104"</f>
        <v>SUITE 104</v>
      </c>
      <c r="AB321" t="str">
        <f>"SAIPAN"</f>
        <v>SAIPAN</v>
      </c>
      <c r="AC321" t="str">
        <f>"GU"</f>
        <v>GU</v>
      </c>
      <c r="AD321" t="str">
        <f t="shared" si="189"/>
        <v>96950</v>
      </c>
      <c r="AE321" t="str">
        <f t="shared" si="166"/>
        <v>UNITED STATES OF AMERICA</v>
      </c>
      <c r="AF321" t="str">
        <f>"N/A"</f>
        <v>N/A</v>
      </c>
      <c r="AG321" s="4" t="str">
        <f>"16703236877"</f>
        <v>16703236877</v>
      </c>
      <c r="AH321" t="str">
        <f>""</f>
        <v/>
      </c>
      <c r="AI321" t="str">
        <f>"621610"</f>
        <v>621610</v>
      </c>
      <c r="AJ321" t="s">
        <v>79</v>
      </c>
      <c r="AK321" t="s">
        <v>79</v>
      </c>
      <c r="AL321" t="s">
        <v>80</v>
      </c>
      <c r="AM321" t="s">
        <v>79</v>
      </c>
      <c r="AP321" t="str">
        <f>"First-Line Supervisors of Non-Retail Sales Workers"</f>
        <v>First-Line Supervisors of Non-Retail Sales Workers</v>
      </c>
      <c r="AQ321" t="str">
        <f>"41-1012.00"</f>
        <v>41-1012.00</v>
      </c>
      <c r="AR321" t="str">
        <f>"First-Line Supervisors of Non-Retail Sales Workers"</f>
        <v>First-Line Supervisors of Non-Retail Sales Workers</v>
      </c>
      <c r="AS321" t="str">
        <f>"OFFICE MANAGER"</f>
        <v>OFFICE MANAGER</v>
      </c>
      <c r="AT321" t="s">
        <v>82</v>
      </c>
      <c r="AU321" t="str">
        <f>"3"</f>
        <v>3</v>
      </c>
      <c r="AV321" t="str">
        <f>"Subordinate"</f>
        <v>Subordinate</v>
      </c>
      <c r="AW321" t="s">
        <v>79</v>
      </c>
      <c r="AX321" t="str">
        <f>""</f>
        <v/>
      </c>
      <c r="AY321" t="s">
        <v>124</v>
      </c>
      <c r="BA321" t="s">
        <v>834</v>
      </c>
      <c r="BB321" t="s">
        <v>79</v>
      </c>
      <c r="BD321" t="s">
        <v>79</v>
      </c>
      <c r="BG321" t="s">
        <v>82</v>
      </c>
      <c r="BH321">
        <v>12</v>
      </c>
      <c r="BI321" t="s">
        <v>835</v>
      </c>
      <c r="BJ321" t="s">
        <v>115</v>
      </c>
      <c r="BK321" t="str">
        <f>"BRI BUILDING KOPA DI ORU ST. GARAPAN"</f>
        <v>BRI BUILDING KOPA DI ORU ST. GARAPAN</v>
      </c>
      <c r="BL321" t="str">
        <f>"SUITE 104"</f>
        <v>SUITE 104</v>
      </c>
      <c r="BM321" t="str">
        <f>"SAIPAN"</f>
        <v>SAIPAN</v>
      </c>
      <c r="BO321" t="s">
        <v>83</v>
      </c>
      <c r="BP321" s="4" t="str">
        <f t="shared" si="199"/>
        <v>96950</v>
      </c>
      <c r="BQ321" t="s">
        <v>79</v>
      </c>
      <c r="BR321" t="str">
        <f>"41-1012.00"</f>
        <v>41-1012.00</v>
      </c>
      <c r="BS321" t="s">
        <v>836</v>
      </c>
      <c r="BT321" s="3">
        <v>10.49</v>
      </c>
      <c r="BU321" t="s">
        <v>80</v>
      </c>
      <c r="BV321" t="s">
        <v>90</v>
      </c>
      <c r="BW321" t="s">
        <v>92</v>
      </c>
      <c r="BZ321" s="1">
        <v>45107</v>
      </c>
    </row>
    <row r="322" spans="1:78" ht="15" customHeight="1" x14ac:dyDescent="0.25">
      <c r="A322" t="s">
        <v>837</v>
      </c>
      <c r="B322" t="s">
        <v>94</v>
      </c>
      <c r="C322" s="1">
        <v>44840</v>
      </c>
      <c r="D322" s="1">
        <v>44881</v>
      </c>
      <c r="H322" t="s">
        <v>78</v>
      </c>
      <c r="I322" t="str">
        <f>"WALKER"</f>
        <v>WALKER</v>
      </c>
      <c r="J322" t="str">
        <f>"SHAOHONG"</f>
        <v>SHAOHONG</v>
      </c>
      <c r="K322" t="str">
        <f>"CHE"</f>
        <v>CHE</v>
      </c>
      <c r="L322" t="str">
        <f>"PRESIDENT OF CORPORATION"</f>
        <v>PRESIDENT OF CORPORATION</v>
      </c>
      <c r="M322" t="str">
        <f>"MOOTY SREET GARAPAN"</f>
        <v>MOOTY SREET GARAPAN</v>
      </c>
      <c r="N322" t="str">
        <f>""</f>
        <v/>
      </c>
      <c r="O322" t="str">
        <f>"SAIPAN"</f>
        <v>SAIPAN</v>
      </c>
      <c r="P322" t="str">
        <f t="shared" ref="P322:P353" si="200">"MP"</f>
        <v>MP</v>
      </c>
      <c r="Q322" s="4" t="str">
        <f t="shared" ref="Q322:Q344" si="201">"96950"</f>
        <v>96950</v>
      </c>
      <c r="R322" t="str">
        <f t="shared" ref="R322:R385" si="202">"UNITED STATES OF AMERICA"</f>
        <v>UNITED STATES OF AMERICA</v>
      </c>
      <c r="S322" t="str">
        <f>""</f>
        <v/>
      </c>
      <c r="T322" s="5" t="str">
        <f>"16718881388"</f>
        <v>16718881388</v>
      </c>
      <c r="U322" t="str">
        <f>""</f>
        <v/>
      </c>
      <c r="V322" s="5" t="str">
        <f>""</f>
        <v/>
      </c>
      <c r="W322" t="str">
        <f>"rhtishao@gmail.com"</f>
        <v>rhtishao@gmail.com</v>
      </c>
      <c r="X322" t="str">
        <f>"RIGEL CORPOATION"</f>
        <v>RIGEL CORPOATION</v>
      </c>
      <c r="Y322" t="str">
        <f>"RIGEL AUTO SHOP"</f>
        <v>RIGEL AUTO SHOP</v>
      </c>
      <c r="Z322" t="str">
        <f>"MOOTY STREET GARAPAN"</f>
        <v>MOOTY STREET GARAPAN</v>
      </c>
      <c r="AA322" t="str">
        <f>""</f>
        <v/>
      </c>
      <c r="AB322" t="str">
        <f>"SAIPAN"</f>
        <v>SAIPAN</v>
      </c>
      <c r="AC322" t="str">
        <f t="shared" ref="AC322:AC353" si="203">"MP"</f>
        <v>MP</v>
      </c>
      <c r="AD322" t="str">
        <f t="shared" si="189"/>
        <v>96950</v>
      </c>
      <c r="AE322" t="str">
        <f t="shared" ref="AE322:AE385" si="204">"UNITED STATES OF AMERICA"</f>
        <v>UNITED STATES OF AMERICA</v>
      </c>
      <c r="AF322" t="str">
        <f>""</f>
        <v/>
      </c>
      <c r="AG322" s="4" t="str">
        <f>"16702351388"</f>
        <v>16702351388</v>
      </c>
      <c r="AH322" t="str">
        <f>""</f>
        <v/>
      </c>
      <c r="AI322" t="str">
        <f>"81111"</f>
        <v>81111</v>
      </c>
      <c r="AJ322" t="s">
        <v>79</v>
      </c>
      <c r="AK322" t="s">
        <v>79</v>
      </c>
      <c r="AL322" t="s">
        <v>80</v>
      </c>
      <c r="AM322" t="s">
        <v>79</v>
      </c>
      <c r="AP322" t="str">
        <f>"AUTOMOTIVE AND WATERCRAFT SERVICE ATTENDANT"</f>
        <v>AUTOMOTIVE AND WATERCRAFT SERVICE ATTENDANT</v>
      </c>
      <c r="AQ322" t="str">
        <f>"53-6031.00"</f>
        <v>53-6031.00</v>
      </c>
      <c r="AR322" t="str">
        <f>"Automotive and Watercraft Service Attendants"</f>
        <v>Automotive and Watercraft Service Attendants</v>
      </c>
      <c r="AS322" t="str">
        <f>"AUTO MECHANIC"</f>
        <v>AUTO MECHANIC</v>
      </c>
      <c r="AT322" t="s">
        <v>79</v>
      </c>
      <c r="AU322" t="str">
        <f>""</f>
        <v/>
      </c>
      <c r="AV322" t="str">
        <f>""</f>
        <v/>
      </c>
      <c r="AW322" t="s">
        <v>79</v>
      </c>
      <c r="AX322" t="str">
        <f>""</f>
        <v/>
      </c>
      <c r="AY322" t="s">
        <v>84</v>
      </c>
      <c r="BA322" t="s">
        <v>838</v>
      </c>
      <c r="BB322" t="s">
        <v>79</v>
      </c>
      <c r="BD322" t="s">
        <v>79</v>
      </c>
      <c r="BG322" t="s">
        <v>82</v>
      </c>
      <c r="BH322">
        <v>6</v>
      </c>
      <c r="BI322" t="s">
        <v>839</v>
      </c>
      <c r="BJ322" t="s">
        <v>840</v>
      </c>
      <c r="BK322" t="str">
        <f>"MOOTY STREET GARAPAN"</f>
        <v>MOOTY STREET GARAPAN</v>
      </c>
      <c r="BL322" t="str">
        <f>""</f>
        <v/>
      </c>
      <c r="BM322" t="str">
        <f>"SAIPAN"</f>
        <v>SAIPAN</v>
      </c>
      <c r="BO322" t="s">
        <v>83</v>
      </c>
      <c r="BP322" s="4" t="str">
        <f t="shared" si="199"/>
        <v>96950</v>
      </c>
      <c r="BQ322" t="s">
        <v>79</v>
      </c>
      <c r="BR322" t="str">
        <f>"53-6031.00"</f>
        <v>53-6031.00</v>
      </c>
      <c r="BS322" t="s">
        <v>138</v>
      </c>
      <c r="BT322" s="3">
        <v>8.4600000000000009</v>
      </c>
      <c r="BU322" t="s">
        <v>80</v>
      </c>
      <c r="BV322" t="s">
        <v>90</v>
      </c>
      <c r="BW322" t="s">
        <v>92</v>
      </c>
      <c r="BZ322" s="1">
        <v>45107</v>
      </c>
    </row>
    <row r="323" spans="1:78" ht="15" customHeight="1" x14ac:dyDescent="0.25">
      <c r="A323" t="s">
        <v>807</v>
      </c>
      <c r="B323" t="s">
        <v>94</v>
      </c>
      <c r="C323" s="1">
        <v>44839</v>
      </c>
      <c r="D323" s="1">
        <v>44879</v>
      </c>
      <c r="H323" t="s">
        <v>78</v>
      </c>
      <c r="I323" t="str">
        <f>"Jardinero"</f>
        <v>Jardinero</v>
      </c>
      <c r="J323" t="str">
        <f>"Maria Luisa"</f>
        <v>Maria Luisa</v>
      </c>
      <c r="K323" t="str">
        <f>"Rivera"</f>
        <v>Rivera</v>
      </c>
      <c r="L323" t="str">
        <f>"Human Resources Officer"</f>
        <v>Human Resources Officer</v>
      </c>
      <c r="M323" t="str">
        <f>"POI Building"</f>
        <v>POI Building</v>
      </c>
      <c r="N323" t="str">
        <f>" Northwest Loop, I Fadang"</f>
        <v xml:space="preserve"> Northwest Loop, I Fadang</v>
      </c>
      <c r="O323" t="str">
        <f>"Saipan"</f>
        <v>Saipan</v>
      </c>
      <c r="P323" t="str">
        <f t="shared" si="200"/>
        <v>MP</v>
      </c>
      <c r="Q323" s="4" t="str">
        <f t="shared" si="201"/>
        <v>96950</v>
      </c>
      <c r="R323" t="str">
        <f t="shared" si="202"/>
        <v>UNITED STATES OF AMERICA</v>
      </c>
      <c r="S323" t="str">
        <f>""</f>
        <v/>
      </c>
      <c r="T323" s="5" t="str">
        <f>"16702880360"</f>
        <v>16702880360</v>
      </c>
      <c r="U323" t="str">
        <f>"104"</f>
        <v>104</v>
      </c>
      <c r="V323" s="5" t="str">
        <f>""</f>
        <v/>
      </c>
      <c r="W323" t="str">
        <f>"malou_jardinero@tanholdings.com"</f>
        <v>malou_jardinero@tanholdings.com</v>
      </c>
      <c r="X323" t="str">
        <f>"PACIFIC ORIENTAL INC."</f>
        <v>PACIFIC ORIENTAL INC.</v>
      </c>
      <c r="Y323" t="str">
        <f>"POI AVIATION"</f>
        <v>POI AVIATION</v>
      </c>
      <c r="Z323" t="str">
        <f>"POI Building"</f>
        <v>POI Building</v>
      </c>
      <c r="AA323" t="str">
        <f>"Northwest Loop, I Fadang"</f>
        <v>Northwest Loop, I Fadang</v>
      </c>
      <c r="AB323" t="str">
        <f>"Saipan"</f>
        <v>Saipan</v>
      </c>
      <c r="AC323" t="str">
        <f t="shared" si="203"/>
        <v>MP</v>
      </c>
      <c r="AD323" t="str">
        <f t="shared" si="189"/>
        <v>96950</v>
      </c>
      <c r="AE323" t="str">
        <f t="shared" si="204"/>
        <v>UNITED STATES OF AMERICA</v>
      </c>
      <c r="AF323" t="str">
        <f>""</f>
        <v/>
      </c>
      <c r="AG323" s="4" t="str">
        <f>"16702880360"</f>
        <v>16702880360</v>
      </c>
      <c r="AH323" t="str">
        <f>""</f>
        <v/>
      </c>
      <c r="AI323" t="str">
        <f>"48819"</f>
        <v>48819</v>
      </c>
      <c r="AJ323" t="s">
        <v>79</v>
      </c>
      <c r="AK323" t="s">
        <v>79</v>
      </c>
      <c r="AL323" t="s">
        <v>80</v>
      </c>
      <c r="AM323" t="s">
        <v>79</v>
      </c>
      <c r="AP323" t="str">
        <f>"ACCOUNTING ASSISTANT"</f>
        <v>ACCOUNTING ASSISTANT</v>
      </c>
      <c r="AQ323" t="str">
        <f>"43-3031.00"</f>
        <v>43-3031.00</v>
      </c>
      <c r="AR323" t="str">
        <f>"Bookkeeping, Accounting, and Auditing Clerks"</f>
        <v>Bookkeeping, Accounting, and Auditing Clerks</v>
      </c>
      <c r="AS323" t="str">
        <f>"Accounting Manager"</f>
        <v>Accounting Manager</v>
      </c>
      <c r="AT323" t="s">
        <v>79</v>
      </c>
      <c r="AU323" t="str">
        <f>""</f>
        <v/>
      </c>
      <c r="AV323" t="str">
        <f>""</f>
        <v/>
      </c>
      <c r="AW323" t="s">
        <v>79</v>
      </c>
      <c r="AX323" t="str">
        <f>""</f>
        <v/>
      </c>
      <c r="AY323" t="s">
        <v>124</v>
      </c>
      <c r="BA323" t="s">
        <v>808</v>
      </c>
      <c r="BB323" t="s">
        <v>79</v>
      </c>
      <c r="BD323" t="s">
        <v>79</v>
      </c>
      <c r="BG323" t="s">
        <v>82</v>
      </c>
      <c r="BH323">
        <v>24</v>
      </c>
      <c r="BI323" t="s">
        <v>809</v>
      </c>
      <c r="BJ323" t="s">
        <v>810</v>
      </c>
      <c r="BK323" t="str">
        <f>"POI Building"</f>
        <v>POI Building</v>
      </c>
      <c r="BL323" t="str">
        <f>"Northwest Loop, I Fadang"</f>
        <v>Northwest Loop, I Fadang</v>
      </c>
      <c r="BM323" t="str">
        <f>"Saipan"</f>
        <v>Saipan</v>
      </c>
      <c r="BO323" t="s">
        <v>83</v>
      </c>
      <c r="BP323" s="4" t="str">
        <f t="shared" si="199"/>
        <v>96950</v>
      </c>
      <c r="BQ323" t="s">
        <v>79</v>
      </c>
      <c r="BR323" t="str">
        <f>"43-3031.00"</f>
        <v>43-3031.00</v>
      </c>
      <c r="BS323" t="s">
        <v>142</v>
      </c>
      <c r="BT323" s="3">
        <v>11.21</v>
      </c>
      <c r="BU323" t="s">
        <v>80</v>
      </c>
      <c r="BV323" t="s">
        <v>90</v>
      </c>
      <c r="BW323" t="s">
        <v>92</v>
      </c>
      <c r="BZ323" s="1">
        <v>45107</v>
      </c>
    </row>
    <row r="324" spans="1:78" ht="15" customHeight="1" x14ac:dyDescent="0.25">
      <c r="A324" t="s">
        <v>811</v>
      </c>
      <c r="B324" t="s">
        <v>94</v>
      </c>
      <c r="C324" s="1">
        <v>44839</v>
      </c>
      <c r="D324" s="1">
        <v>44879</v>
      </c>
      <c r="H324" t="s">
        <v>78</v>
      </c>
      <c r="I324" t="str">
        <f>"ELLIOTT"</f>
        <v>ELLIOTT</v>
      </c>
      <c r="J324" t="str">
        <f>"JEFF"</f>
        <v>JEFF</v>
      </c>
      <c r="K324" t="str">
        <f>"RICHARD"</f>
        <v>RICHARD</v>
      </c>
      <c r="L324" t="str">
        <f>"MANAGER"</f>
        <v>MANAGER</v>
      </c>
      <c r="M324" t="str">
        <f>"PO BOX 5568 CHRB"</f>
        <v>PO BOX 5568 CHRB</v>
      </c>
      <c r="N324" t="str">
        <f>"CAPITOL HILL"</f>
        <v>CAPITOL HILL</v>
      </c>
      <c r="O324" t="str">
        <f>"SAIPAN"</f>
        <v>SAIPAN</v>
      </c>
      <c r="P324" t="str">
        <f t="shared" si="200"/>
        <v>MP</v>
      </c>
      <c r="Q324" s="4" t="str">
        <f t="shared" si="201"/>
        <v>96950</v>
      </c>
      <c r="R324" t="str">
        <f t="shared" si="202"/>
        <v>UNITED STATES OF AMERICA</v>
      </c>
      <c r="S324" t="str">
        <f>""</f>
        <v/>
      </c>
      <c r="T324" s="5" t="str">
        <f>"16702855333"</f>
        <v>16702855333</v>
      </c>
      <c r="U324" t="str">
        <f>""</f>
        <v/>
      </c>
      <c r="V324" s="5" t="str">
        <f>""</f>
        <v/>
      </c>
      <c r="W324" t="str">
        <f>"jeff@elliottsystemsllc.com"</f>
        <v>jeff@elliottsystemsllc.com</v>
      </c>
      <c r="X324" t="str">
        <f>"Elliott Systems LLC"</f>
        <v>Elliott Systems LLC</v>
      </c>
      <c r="Y324" t="str">
        <f>""</f>
        <v/>
      </c>
      <c r="Z324" t="str">
        <f>"PO Box 5568 CHRB"</f>
        <v>PO Box 5568 CHRB</v>
      </c>
      <c r="AA324" t="str">
        <f>"CAPITOL HILL"</f>
        <v>CAPITOL HILL</v>
      </c>
      <c r="AB324" t="str">
        <f>"SAIPAN"</f>
        <v>SAIPAN</v>
      </c>
      <c r="AC324" t="str">
        <f t="shared" si="203"/>
        <v>MP</v>
      </c>
      <c r="AD324" t="str">
        <f t="shared" si="189"/>
        <v>96950</v>
      </c>
      <c r="AE324" t="str">
        <f t="shared" si="204"/>
        <v>UNITED STATES OF AMERICA</v>
      </c>
      <c r="AF324" t="str">
        <f>""</f>
        <v/>
      </c>
      <c r="AG324" s="4" t="str">
        <f>"16702855333"</f>
        <v>16702855333</v>
      </c>
      <c r="AH324" t="str">
        <f>""</f>
        <v/>
      </c>
      <c r="AI324" t="str">
        <f>"811310"</f>
        <v>811310</v>
      </c>
      <c r="AJ324" t="s">
        <v>79</v>
      </c>
      <c r="AK324" t="s">
        <v>79</v>
      </c>
      <c r="AL324" t="s">
        <v>80</v>
      </c>
      <c r="AM324" t="s">
        <v>79</v>
      </c>
      <c r="AP324" t="str">
        <f>"REPAIR AND MAINTENANCE WORKER"</f>
        <v>REPAIR AND MAINTENANCE WORKER</v>
      </c>
      <c r="AQ324" t="str">
        <f>"49-9071.00"</f>
        <v>49-9071.00</v>
      </c>
      <c r="AR324" t="str">
        <f>"Maintenance and Repair Workers, General"</f>
        <v>Maintenance and Repair Workers, General</v>
      </c>
      <c r="AS324" t="str">
        <f>"MANAGER"</f>
        <v>MANAGER</v>
      </c>
      <c r="AT324" t="s">
        <v>79</v>
      </c>
      <c r="AU324" t="str">
        <f>""</f>
        <v/>
      </c>
      <c r="AV324" t="str">
        <f>""</f>
        <v/>
      </c>
      <c r="AW324" t="s">
        <v>79</v>
      </c>
      <c r="AX324" t="str">
        <f>""</f>
        <v/>
      </c>
      <c r="AY324" t="s">
        <v>81</v>
      </c>
      <c r="BA324" t="s">
        <v>80</v>
      </c>
      <c r="BB324" t="s">
        <v>79</v>
      </c>
      <c r="BD324" t="s">
        <v>79</v>
      </c>
      <c r="BG324" t="s">
        <v>82</v>
      </c>
      <c r="BH324">
        <v>6</v>
      </c>
      <c r="BI324" t="s">
        <v>812</v>
      </c>
      <c r="BJ324" t="s">
        <v>115</v>
      </c>
      <c r="BK324" t="str">
        <f>"ELLIOTT SYSTEMS LLC"</f>
        <v>ELLIOTT SYSTEMS LLC</v>
      </c>
      <c r="BL324" t="str">
        <f>"ISA DRIVE CAPITOL HILL"</f>
        <v>ISA DRIVE CAPITOL HILL</v>
      </c>
      <c r="BM324" t="str">
        <f>"SAIPAN"</f>
        <v>SAIPAN</v>
      </c>
      <c r="BO324" t="s">
        <v>83</v>
      </c>
      <c r="BP324" s="4" t="str">
        <f t="shared" si="199"/>
        <v>96950</v>
      </c>
      <c r="BQ324" t="s">
        <v>82</v>
      </c>
      <c r="BR324" t="str">
        <f>"49-9071.00"</f>
        <v>49-9071.00</v>
      </c>
      <c r="BS324" t="s">
        <v>146</v>
      </c>
      <c r="BT324" s="3">
        <v>9.19</v>
      </c>
      <c r="BU324" t="s">
        <v>80</v>
      </c>
      <c r="BV324" t="s">
        <v>90</v>
      </c>
      <c r="BW324" t="s">
        <v>92</v>
      </c>
      <c r="BZ324" s="1">
        <v>45107</v>
      </c>
    </row>
    <row r="325" spans="1:78" ht="15" customHeight="1" x14ac:dyDescent="0.25">
      <c r="A325" t="s">
        <v>813</v>
      </c>
      <c r="B325" t="s">
        <v>94</v>
      </c>
      <c r="C325" s="1">
        <v>44839</v>
      </c>
      <c r="D325" s="1">
        <v>44879</v>
      </c>
      <c r="H325" t="s">
        <v>78</v>
      </c>
      <c r="I325" t="str">
        <f>"Leong"</f>
        <v>Leong</v>
      </c>
      <c r="J325" t="str">
        <f>"Richard"</f>
        <v>Richard</v>
      </c>
      <c r="K325" t="str">
        <f>"Pabustan"</f>
        <v>Pabustan</v>
      </c>
      <c r="L325" t="str">
        <f>"Sales Manager"</f>
        <v>Sales Manager</v>
      </c>
      <c r="M325" t="str">
        <f>"Teer Drive Susupe Village"</f>
        <v>Teer Drive Susupe Village</v>
      </c>
      <c r="N325" t="str">
        <f>"PMB 138 PO BOX 10000"</f>
        <v>PMB 138 PO BOX 10000</v>
      </c>
      <c r="O325" t="str">
        <f>"Saipan"</f>
        <v>Saipan</v>
      </c>
      <c r="P325" t="str">
        <f t="shared" si="200"/>
        <v>MP</v>
      </c>
      <c r="Q325" s="4" t="str">
        <f t="shared" si="201"/>
        <v>96950</v>
      </c>
      <c r="R325" t="str">
        <f t="shared" si="202"/>
        <v>UNITED STATES OF AMERICA</v>
      </c>
      <c r="S325" t="str">
        <f>"n/a"</f>
        <v>n/a</v>
      </c>
      <c r="T325" s="5" t="str">
        <f>"16702852752"</f>
        <v>16702852752</v>
      </c>
      <c r="U325" t="str">
        <f>""</f>
        <v/>
      </c>
      <c r="V325" s="5" t="str">
        <f>""</f>
        <v/>
      </c>
      <c r="W325" t="str">
        <f>"rleong1969@gmail.com"</f>
        <v>rleong1969@gmail.com</v>
      </c>
      <c r="X325" t="str">
        <f>"Alba Prime Pacific LLC"</f>
        <v>Alba Prime Pacific LLC</v>
      </c>
      <c r="Y325" t="str">
        <f>"Multiline Supplies &amp; Services"</f>
        <v>Multiline Supplies &amp; Services</v>
      </c>
      <c r="Z325" t="str">
        <f>"Teer Drive Susupe Village"</f>
        <v>Teer Drive Susupe Village</v>
      </c>
      <c r="AA325" t="str">
        <f>"PMB 138 PO BOX 10000"</f>
        <v>PMB 138 PO BOX 10000</v>
      </c>
      <c r="AB325" t="str">
        <f>"Saipan"</f>
        <v>Saipan</v>
      </c>
      <c r="AC325" t="str">
        <f t="shared" si="203"/>
        <v>MP</v>
      </c>
      <c r="AD325" t="str">
        <f t="shared" si="189"/>
        <v>96950</v>
      </c>
      <c r="AE325" t="str">
        <f t="shared" si="204"/>
        <v>UNITED STATES OF AMERICA</v>
      </c>
      <c r="AF325" t="str">
        <f>"n/a"</f>
        <v>n/a</v>
      </c>
      <c r="AG325" s="4" t="str">
        <f>"16702852752"</f>
        <v>16702852752</v>
      </c>
      <c r="AH325" t="str">
        <f>""</f>
        <v/>
      </c>
      <c r="AI325" t="str">
        <f>"221330"</f>
        <v>221330</v>
      </c>
      <c r="AJ325" t="s">
        <v>79</v>
      </c>
      <c r="AK325" t="s">
        <v>79</v>
      </c>
      <c r="AL325" t="s">
        <v>80</v>
      </c>
      <c r="AM325" t="s">
        <v>79</v>
      </c>
      <c r="AP325" t="str">
        <f>"Civil Engineering Technologist and Technicians"</f>
        <v>Civil Engineering Technologist and Technicians</v>
      </c>
      <c r="AQ325" t="str">
        <f>"17-3022.00"</f>
        <v>17-3022.00</v>
      </c>
      <c r="AR325" t="str">
        <f>"Civil Engineering Technologists and Technicians"</f>
        <v>Civil Engineering Technologists and Technicians</v>
      </c>
      <c r="AS325" t="str">
        <f>"n/a"</f>
        <v>n/a</v>
      </c>
      <c r="AT325" t="s">
        <v>79</v>
      </c>
      <c r="AU325" t="str">
        <f>""</f>
        <v/>
      </c>
      <c r="AV325" t="str">
        <f>""</f>
        <v/>
      </c>
      <c r="AW325" t="s">
        <v>79</v>
      </c>
      <c r="AX325" t="str">
        <f>""</f>
        <v/>
      </c>
      <c r="AY325" t="s">
        <v>95</v>
      </c>
      <c r="BA325" t="s">
        <v>814</v>
      </c>
      <c r="BB325" t="s">
        <v>79</v>
      </c>
      <c r="BD325" t="s">
        <v>79</v>
      </c>
      <c r="BG325" t="s">
        <v>82</v>
      </c>
      <c r="BH325">
        <v>12</v>
      </c>
      <c r="BI325" t="s">
        <v>490</v>
      </c>
      <c r="BJ325" t="s">
        <v>815</v>
      </c>
      <c r="BK325" t="str">
        <f>"Teer Drive Susupe Village"</f>
        <v>Teer Drive Susupe Village</v>
      </c>
      <c r="BL325" t="str">
        <f>""</f>
        <v/>
      </c>
      <c r="BM325" t="str">
        <f>"Saipan"</f>
        <v>Saipan</v>
      </c>
      <c r="BO325" t="s">
        <v>83</v>
      </c>
      <c r="BP325" s="4" t="str">
        <f t="shared" si="199"/>
        <v>96950</v>
      </c>
      <c r="BQ325" t="s">
        <v>79</v>
      </c>
      <c r="BR325" t="str">
        <f>"17-3022.00"</f>
        <v>17-3022.00</v>
      </c>
      <c r="BS325" t="s">
        <v>490</v>
      </c>
      <c r="BT325" s="3">
        <v>16.75</v>
      </c>
      <c r="BU325" t="s">
        <v>80</v>
      </c>
      <c r="BV325" t="s">
        <v>90</v>
      </c>
      <c r="BW325" t="s">
        <v>92</v>
      </c>
      <c r="BZ325" s="1">
        <v>45107</v>
      </c>
    </row>
    <row r="326" spans="1:78" ht="15" customHeight="1" x14ac:dyDescent="0.25">
      <c r="A326" t="s">
        <v>816</v>
      </c>
      <c r="B326" t="s">
        <v>94</v>
      </c>
      <c r="C326" s="1">
        <v>44839</v>
      </c>
      <c r="D326" s="1">
        <v>44879</v>
      </c>
      <c r="H326" t="s">
        <v>78</v>
      </c>
      <c r="I326" t="str">
        <f>"Leong"</f>
        <v>Leong</v>
      </c>
      <c r="J326" t="str">
        <f>"Richard"</f>
        <v>Richard</v>
      </c>
      <c r="K326" t="str">
        <f>"Pabustan"</f>
        <v>Pabustan</v>
      </c>
      <c r="L326" t="str">
        <f>"Sales Manager"</f>
        <v>Sales Manager</v>
      </c>
      <c r="M326" t="str">
        <f>"Teer Drive Susupe Village"</f>
        <v>Teer Drive Susupe Village</v>
      </c>
      <c r="N326" t="str">
        <f>"PMB 138 PO BOX 10000"</f>
        <v>PMB 138 PO BOX 10000</v>
      </c>
      <c r="O326" t="str">
        <f>"Saipan"</f>
        <v>Saipan</v>
      </c>
      <c r="P326" t="str">
        <f t="shared" si="200"/>
        <v>MP</v>
      </c>
      <c r="Q326" s="4" t="str">
        <f t="shared" si="201"/>
        <v>96950</v>
      </c>
      <c r="R326" t="str">
        <f t="shared" si="202"/>
        <v>UNITED STATES OF AMERICA</v>
      </c>
      <c r="S326" t="str">
        <f>"n/a"</f>
        <v>n/a</v>
      </c>
      <c r="T326" s="5" t="str">
        <f>"16702852752"</f>
        <v>16702852752</v>
      </c>
      <c r="U326" t="str">
        <f>""</f>
        <v/>
      </c>
      <c r="V326" s="5" t="str">
        <f>""</f>
        <v/>
      </c>
      <c r="W326" t="str">
        <f>"rleong1969@gmail.com"</f>
        <v>rleong1969@gmail.com</v>
      </c>
      <c r="X326" t="str">
        <f>"Alba Prime Pacific LLC"</f>
        <v>Alba Prime Pacific LLC</v>
      </c>
      <c r="Y326" t="str">
        <f>"Multiline Supplies &amp; Services"</f>
        <v>Multiline Supplies &amp; Services</v>
      </c>
      <c r="Z326" t="str">
        <f>"Teer Drive Susupe Village"</f>
        <v>Teer Drive Susupe Village</v>
      </c>
      <c r="AA326" t="str">
        <f>"PMB 138 PO BOX 10000"</f>
        <v>PMB 138 PO BOX 10000</v>
      </c>
      <c r="AB326" t="str">
        <f>"Saipan"</f>
        <v>Saipan</v>
      </c>
      <c r="AC326" t="str">
        <f t="shared" si="203"/>
        <v>MP</v>
      </c>
      <c r="AD326" t="str">
        <f t="shared" ref="AD326:AD344" si="205">"96950"</f>
        <v>96950</v>
      </c>
      <c r="AE326" t="str">
        <f t="shared" si="204"/>
        <v>UNITED STATES OF AMERICA</v>
      </c>
      <c r="AF326" t="str">
        <f>"n/a"</f>
        <v>n/a</v>
      </c>
      <c r="AG326" s="4" t="str">
        <f>"16702852752"</f>
        <v>16702852752</v>
      </c>
      <c r="AH326" t="str">
        <f>""</f>
        <v/>
      </c>
      <c r="AI326" t="str">
        <f>"221330"</f>
        <v>221330</v>
      </c>
      <c r="AJ326" t="s">
        <v>79</v>
      </c>
      <c r="AK326" t="s">
        <v>79</v>
      </c>
      <c r="AL326" t="s">
        <v>80</v>
      </c>
      <c r="AM326" t="s">
        <v>79</v>
      </c>
      <c r="AP326" t="str">
        <f>"Sales Engineer"</f>
        <v>Sales Engineer</v>
      </c>
      <c r="AQ326" t="str">
        <f>"41-9031.00"</f>
        <v>41-9031.00</v>
      </c>
      <c r="AR326" t="str">
        <f>"Sales Engineers"</f>
        <v>Sales Engineers</v>
      </c>
      <c r="AS326" t="str">
        <f>"n/a"</f>
        <v>n/a</v>
      </c>
      <c r="AT326" t="s">
        <v>79</v>
      </c>
      <c r="AU326" t="str">
        <f>""</f>
        <v/>
      </c>
      <c r="AV326" t="str">
        <f>""</f>
        <v/>
      </c>
      <c r="AW326" t="s">
        <v>79</v>
      </c>
      <c r="AX326" t="str">
        <f>""</f>
        <v/>
      </c>
      <c r="AY326" t="s">
        <v>95</v>
      </c>
      <c r="BA326" t="s">
        <v>814</v>
      </c>
      <c r="BB326" t="s">
        <v>79</v>
      </c>
      <c r="BD326" t="s">
        <v>79</v>
      </c>
      <c r="BG326" t="s">
        <v>82</v>
      </c>
      <c r="BH326">
        <v>12</v>
      </c>
      <c r="BI326" t="s">
        <v>817</v>
      </c>
      <c r="BJ326" t="s">
        <v>818</v>
      </c>
      <c r="BK326" t="str">
        <f>"Teer Drive Susupe Village"</f>
        <v>Teer Drive Susupe Village</v>
      </c>
      <c r="BL326" t="str">
        <f>""</f>
        <v/>
      </c>
      <c r="BM326" t="str">
        <f>"Saipan"</f>
        <v>Saipan</v>
      </c>
      <c r="BO326" t="s">
        <v>83</v>
      </c>
      <c r="BP326" s="4" t="str">
        <f t="shared" si="199"/>
        <v>96950</v>
      </c>
      <c r="BQ326" t="s">
        <v>79</v>
      </c>
      <c r="BR326" t="str">
        <f>"41-9031.00"</f>
        <v>41-9031.00</v>
      </c>
      <c r="BS326" t="s">
        <v>817</v>
      </c>
      <c r="BT326" s="3">
        <v>8.76</v>
      </c>
      <c r="BU326" t="s">
        <v>80</v>
      </c>
      <c r="BV326" t="s">
        <v>90</v>
      </c>
      <c r="BW326" t="s">
        <v>92</v>
      </c>
      <c r="BZ326" s="1">
        <v>45107</v>
      </c>
    </row>
    <row r="327" spans="1:78" ht="15" customHeight="1" x14ac:dyDescent="0.25">
      <c r="A327" t="s">
        <v>819</v>
      </c>
      <c r="B327" t="s">
        <v>94</v>
      </c>
      <c r="C327" s="1">
        <v>44839</v>
      </c>
      <c r="D327" s="1">
        <v>44879</v>
      </c>
      <c r="H327" t="s">
        <v>78</v>
      </c>
      <c r="I327" t="str">
        <f>"Leong"</f>
        <v>Leong</v>
      </c>
      <c r="J327" t="str">
        <f>"Richard"</f>
        <v>Richard</v>
      </c>
      <c r="K327" t="str">
        <f>"Pabustan"</f>
        <v>Pabustan</v>
      </c>
      <c r="L327" t="str">
        <f>"Sales Manager"</f>
        <v>Sales Manager</v>
      </c>
      <c r="M327" t="str">
        <f>"Teer Drive Susupe Village"</f>
        <v>Teer Drive Susupe Village</v>
      </c>
      <c r="N327" t="str">
        <f>"PMB 138 PO BOX 10000"</f>
        <v>PMB 138 PO BOX 10000</v>
      </c>
      <c r="O327" t="str">
        <f>"Saipan"</f>
        <v>Saipan</v>
      </c>
      <c r="P327" t="str">
        <f t="shared" si="200"/>
        <v>MP</v>
      </c>
      <c r="Q327" s="4" t="str">
        <f t="shared" si="201"/>
        <v>96950</v>
      </c>
      <c r="R327" t="str">
        <f t="shared" si="202"/>
        <v>UNITED STATES OF AMERICA</v>
      </c>
      <c r="S327" t="str">
        <f>"n/a"</f>
        <v>n/a</v>
      </c>
      <c r="T327" s="5" t="str">
        <f>"16702852752"</f>
        <v>16702852752</v>
      </c>
      <c r="U327" t="str">
        <f>""</f>
        <v/>
      </c>
      <c r="V327" s="5" t="str">
        <f>""</f>
        <v/>
      </c>
      <c r="W327" t="str">
        <f>"rleong1969@gmail.com"</f>
        <v>rleong1969@gmail.com</v>
      </c>
      <c r="X327" t="str">
        <f>"Alba Prime Pacific LLC"</f>
        <v>Alba Prime Pacific LLC</v>
      </c>
      <c r="Y327" t="str">
        <f>"Multiline Supplies &amp; Services"</f>
        <v>Multiline Supplies &amp; Services</v>
      </c>
      <c r="Z327" t="str">
        <f>"Teer Drive Susupe Village"</f>
        <v>Teer Drive Susupe Village</v>
      </c>
      <c r="AA327" t="str">
        <f>"PMB 138 PO BOX 10000"</f>
        <v>PMB 138 PO BOX 10000</v>
      </c>
      <c r="AB327" t="str">
        <f>"Saipan"</f>
        <v>Saipan</v>
      </c>
      <c r="AC327" t="str">
        <f t="shared" si="203"/>
        <v>MP</v>
      </c>
      <c r="AD327" t="str">
        <f t="shared" si="205"/>
        <v>96950</v>
      </c>
      <c r="AE327" t="str">
        <f t="shared" si="204"/>
        <v>UNITED STATES OF AMERICA</v>
      </c>
      <c r="AF327" t="str">
        <f>"n/a"</f>
        <v>n/a</v>
      </c>
      <c r="AG327" s="4" t="str">
        <f>"16702852752"</f>
        <v>16702852752</v>
      </c>
      <c r="AH327" t="str">
        <f>""</f>
        <v/>
      </c>
      <c r="AI327" t="str">
        <f>"221330"</f>
        <v>221330</v>
      </c>
      <c r="AJ327" t="s">
        <v>79</v>
      </c>
      <c r="AK327" t="s">
        <v>79</v>
      </c>
      <c r="AL327" t="s">
        <v>80</v>
      </c>
      <c r="AM327" t="s">
        <v>79</v>
      </c>
      <c r="AP327" t="str">
        <f>"Sales Engineer"</f>
        <v>Sales Engineer</v>
      </c>
      <c r="AQ327" t="str">
        <f>"41-9031.00"</f>
        <v>41-9031.00</v>
      </c>
      <c r="AR327" t="str">
        <f>"Sales Engineers"</f>
        <v>Sales Engineers</v>
      </c>
      <c r="AS327" t="str">
        <f>"n/a"</f>
        <v>n/a</v>
      </c>
      <c r="AT327" t="s">
        <v>79</v>
      </c>
      <c r="AU327" t="str">
        <f>""</f>
        <v/>
      </c>
      <c r="AV327" t="str">
        <f>""</f>
        <v/>
      </c>
      <c r="AW327" t="s">
        <v>79</v>
      </c>
      <c r="AX327" t="str">
        <f>""</f>
        <v/>
      </c>
      <c r="AY327" t="s">
        <v>95</v>
      </c>
      <c r="BA327" t="s">
        <v>820</v>
      </c>
      <c r="BB327" t="s">
        <v>79</v>
      </c>
      <c r="BD327" t="s">
        <v>79</v>
      </c>
      <c r="BG327" t="s">
        <v>82</v>
      </c>
      <c r="BH327">
        <v>12</v>
      </c>
      <c r="BI327" t="s">
        <v>821</v>
      </c>
      <c r="BJ327" t="s">
        <v>822</v>
      </c>
      <c r="BK327" t="str">
        <f>"Teer Drive Susupe Village"</f>
        <v>Teer Drive Susupe Village</v>
      </c>
      <c r="BL327" t="str">
        <f>""</f>
        <v/>
      </c>
      <c r="BM327" t="str">
        <f>"Saipan"</f>
        <v>Saipan</v>
      </c>
      <c r="BO327" t="s">
        <v>83</v>
      </c>
      <c r="BP327" s="4" t="str">
        <f t="shared" si="199"/>
        <v>96950</v>
      </c>
      <c r="BQ327" t="s">
        <v>79</v>
      </c>
      <c r="BR327" t="str">
        <f>"41-9031.00"</f>
        <v>41-9031.00</v>
      </c>
      <c r="BS327" t="s">
        <v>817</v>
      </c>
      <c r="BT327" s="3">
        <v>8.76</v>
      </c>
      <c r="BU327" t="s">
        <v>80</v>
      </c>
      <c r="BV327" t="s">
        <v>90</v>
      </c>
      <c r="BW327" t="s">
        <v>92</v>
      </c>
      <c r="BZ327" s="1">
        <v>45107</v>
      </c>
    </row>
    <row r="328" spans="1:78" ht="15" customHeight="1" x14ac:dyDescent="0.25">
      <c r="A328" t="s">
        <v>823</v>
      </c>
      <c r="B328" t="s">
        <v>94</v>
      </c>
      <c r="C328" s="1">
        <v>44839</v>
      </c>
      <c r="D328" s="1">
        <v>44879</v>
      </c>
      <c r="H328" t="s">
        <v>78</v>
      </c>
      <c r="I328" t="str">
        <f>"PARK"</f>
        <v>PARK</v>
      </c>
      <c r="J328" t="str">
        <f>"SUNG IL"</f>
        <v>SUNG IL</v>
      </c>
      <c r="K328" t="str">
        <f>""</f>
        <v/>
      </c>
      <c r="L328" t="str">
        <f>"VICE-PRESIDENT"</f>
        <v>VICE-PRESIDENT</v>
      </c>
      <c r="M328" t="str">
        <f>"P.O. BOX 503713"</f>
        <v>P.O. BOX 503713</v>
      </c>
      <c r="N328" t="str">
        <f>""</f>
        <v/>
      </c>
      <c r="O328" t="str">
        <f>"SAIPAN"</f>
        <v>SAIPAN</v>
      </c>
      <c r="P328" t="str">
        <f t="shared" si="200"/>
        <v>MP</v>
      </c>
      <c r="Q328" s="4" t="str">
        <f t="shared" si="201"/>
        <v>96950</v>
      </c>
      <c r="R328" t="str">
        <f t="shared" si="202"/>
        <v>UNITED STATES OF AMERICA</v>
      </c>
      <c r="S328" t="str">
        <f>""</f>
        <v/>
      </c>
      <c r="T328" s="5" t="str">
        <f>"16704840955"</f>
        <v>16704840955</v>
      </c>
      <c r="U328" t="str">
        <f>""</f>
        <v/>
      </c>
      <c r="V328" s="5" t="str">
        <f>""</f>
        <v/>
      </c>
      <c r="W328" t="str">
        <f>"cho_jinjoocorp@yahoo.com"</f>
        <v>cho_jinjoocorp@yahoo.com</v>
      </c>
      <c r="X328" t="str">
        <f>"THANKS SAIPAN OCEAN, INC."</f>
        <v>THANKS SAIPAN OCEAN, INC.</v>
      </c>
      <c r="Y328" t="str">
        <f>""</f>
        <v/>
      </c>
      <c r="Z328" t="str">
        <f>"P.O. BOX 503713"</f>
        <v>P.O. BOX 503713</v>
      </c>
      <c r="AA328" t="str">
        <f>""</f>
        <v/>
      </c>
      <c r="AB328" t="str">
        <f>"SAIPAN"</f>
        <v>SAIPAN</v>
      </c>
      <c r="AC328" t="str">
        <f t="shared" si="203"/>
        <v>MP</v>
      </c>
      <c r="AD328" t="str">
        <f t="shared" si="205"/>
        <v>96950</v>
      </c>
      <c r="AE328" t="str">
        <f t="shared" si="204"/>
        <v>UNITED STATES OF AMERICA</v>
      </c>
      <c r="AF328" t="str">
        <f>""</f>
        <v/>
      </c>
      <c r="AG328" s="4" t="str">
        <f>"16704840955"</f>
        <v>16704840955</v>
      </c>
      <c r="AH328" t="str">
        <f>""</f>
        <v/>
      </c>
      <c r="AI328" t="str">
        <f>"56151"</f>
        <v>56151</v>
      </c>
      <c r="AJ328" t="s">
        <v>79</v>
      </c>
      <c r="AK328" t="s">
        <v>79</v>
      </c>
      <c r="AL328" t="s">
        <v>80</v>
      </c>
      <c r="AM328" t="s">
        <v>79</v>
      </c>
      <c r="AP328" t="str">
        <f>"SCUBA DIVING INSTRUCTOR"</f>
        <v>SCUBA DIVING INSTRUCTOR</v>
      </c>
      <c r="AQ328" t="str">
        <f>"25-3021.00"</f>
        <v>25-3021.00</v>
      </c>
      <c r="AR328" t="str">
        <f>"Self-Enrichment Teachers"</f>
        <v>Self-Enrichment Teachers</v>
      </c>
      <c r="AS328" t="str">
        <f>"N/A"</f>
        <v>N/A</v>
      </c>
      <c r="AT328" t="s">
        <v>79</v>
      </c>
      <c r="AU328" t="str">
        <f>""</f>
        <v/>
      </c>
      <c r="AV328" t="str">
        <f>""</f>
        <v/>
      </c>
      <c r="AW328" t="s">
        <v>79</v>
      </c>
      <c r="AX328" t="str">
        <f>""</f>
        <v/>
      </c>
      <c r="AY328" t="s">
        <v>84</v>
      </c>
      <c r="BA328" t="s">
        <v>80</v>
      </c>
      <c r="BB328" t="s">
        <v>79</v>
      </c>
      <c r="BD328" t="s">
        <v>79</v>
      </c>
      <c r="BG328" t="s">
        <v>82</v>
      </c>
      <c r="BH328">
        <v>24</v>
      </c>
      <c r="BI328" t="s">
        <v>824</v>
      </c>
      <c r="BJ328" t="s">
        <v>825</v>
      </c>
      <c r="BK328" t="str">
        <f>"BEACH ROAD, GARAPAN"</f>
        <v>BEACH ROAD, GARAPAN</v>
      </c>
      <c r="BL328" t="str">
        <f>""</f>
        <v/>
      </c>
      <c r="BM328" t="str">
        <f>"SAIPAN"</f>
        <v>SAIPAN</v>
      </c>
      <c r="BO328" t="s">
        <v>83</v>
      </c>
      <c r="BP328" s="4" t="str">
        <f t="shared" si="199"/>
        <v>96950</v>
      </c>
      <c r="BQ328" t="s">
        <v>79</v>
      </c>
      <c r="BR328" t="str">
        <f>"25-3021.00"</f>
        <v>25-3021.00</v>
      </c>
      <c r="BS328" t="s">
        <v>535</v>
      </c>
      <c r="BT328" s="3">
        <v>23.72</v>
      </c>
      <c r="BU328" t="s">
        <v>80</v>
      </c>
      <c r="BV328" t="s">
        <v>90</v>
      </c>
      <c r="BW328" t="s">
        <v>92</v>
      </c>
      <c r="BZ328" s="1">
        <v>45107</v>
      </c>
    </row>
    <row r="329" spans="1:78" ht="15" customHeight="1" x14ac:dyDescent="0.25">
      <c r="A329" t="s">
        <v>826</v>
      </c>
      <c r="B329" t="s">
        <v>94</v>
      </c>
      <c r="C329" s="1">
        <v>44839</v>
      </c>
      <c r="D329" s="1">
        <v>44879</v>
      </c>
      <c r="H329" t="s">
        <v>78</v>
      </c>
      <c r="I329" t="str">
        <f>"VEREEN"</f>
        <v>VEREEN</v>
      </c>
      <c r="J329" t="str">
        <f>"MARK"</f>
        <v>MARK</v>
      </c>
      <c r="K329" t="str">
        <f>"A"</f>
        <v>A</v>
      </c>
      <c r="L329" t="str">
        <f>"GENERAL MANAGER"</f>
        <v>GENERAL MANAGER</v>
      </c>
      <c r="M329" t="str">
        <f>"NAFTAN ROAD 304 OBYAN, SAIPAN MP 96950"</f>
        <v>NAFTAN ROAD 304 OBYAN, SAIPAN MP 96950</v>
      </c>
      <c r="N329" t="str">
        <f>"PMB 139 PPP, PO BOX 10000"</f>
        <v>PMB 139 PPP, PO BOX 10000</v>
      </c>
      <c r="O329" t="str">
        <f>"SAIPAN, MP"</f>
        <v>SAIPAN, MP</v>
      </c>
      <c r="P329" t="str">
        <f t="shared" si="200"/>
        <v>MP</v>
      </c>
      <c r="Q329" s="4" t="str">
        <f t="shared" si="201"/>
        <v>96950</v>
      </c>
      <c r="R329" t="str">
        <f t="shared" si="202"/>
        <v>UNITED STATES OF AMERICA</v>
      </c>
      <c r="S329" t="str">
        <f>""</f>
        <v/>
      </c>
      <c r="T329" s="5" t="str">
        <f>"16702880407"</f>
        <v>16702880407</v>
      </c>
      <c r="U329" t="str">
        <f>"33"</f>
        <v>33</v>
      </c>
      <c r="V329" s="5" t="str">
        <f>""</f>
        <v/>
      </c>
      <c r="W329" t="str">
        <f>"mvereen@hawaiianrock.com"</f>
        <v>mvereen@hawaiianrock.com</v>
      </c>
      <c r="X329" t="str">
        <f>"HAWAIIAN ROCK PRODUCTS CORPORATION"</f>
        <v>HAWAIIAN ROCK PRODUCTS CORPORATION</v>
      </c>
      <c r="Y329" t="str">
        <f>"HAWAIIAN ROCK PRODUCTS"</f>
        <v>HAWAIIAN ROCK PRODUCTS</v>
      </c>
      <c r="Z329" t="str">
        <f>"NAFTAN ROAD 304 OBYAN, SAIPAN MP 96950"</f>
        <v>NAFTAN ROAD 304 OBYAN, SAIPAN MP 96950</v>
      </c>
      <c r="AA329" t="str">
        <f>"PMB 139 PPP, PO BOX 10000"</f>
        <v>PMB 139 PPP, PO BOX 10000</v>
      </c>
      <c r="AB329" t="str">
        <f>"SAIPAN, MP"</f>
        <v>SAIPAN, MP</v>
      </c>
      <c r="AC329" t="str">
        <f t="shared" si="203"/>
        <v>MP</v>
      </c>
      <c r="AD329" t="str">
        <f t="shared" si="205"/>
        <v>96950</v>
      </c>
      <c r="AE329" t="str">
        <f t="shared" si="204"/>
        <v>UNITED STATES OF AMERICA</v>
      </c>
      <c r="AF329" t="str">
        <f>""</f>
        <v/>
      </c>
      <c r="AG329" s="4" t="str">
        <f>"16702880407"</f>
        <v>16702880407</v>
      </c>
      <c r="AH329" t="str">
        <f>"33"</f>
        <v>33</v>
      </c>
      <c r="AI329" t="str">
        <f>"2123"</f>
        <v>2123</v>
      </c>
      <c r="AJ329" t="s">
        <v>79</v>
      </c>
      <c r="AK329" t="s">
        <v>79</v>
      </c>
      <c r="AL329" t="s">
        <v>80</v>
      </c>
      <c r="AM329" t="s">
        <v>79</v>
      </c>
      <c r="AP329" t="str">
        <f>"HEAVY AND TRACTOR-TRAILER TRUCK DRIVERS"</f>
        <v>HEAVY AND TRACTOR-TRAILER TRUCK DRIVERS</v>
      </c>
      <c r="AQ329" t="str">
        <f>"53-3032.00"</f>
        <v>53-3032.00</v>
      </c>
      <c r="AR329" t="str">
        <f>"Heavy and Tractor-Trailer Truck Drivers"</f>
        <v>Heavy and Tractor-Trailer Truck Drivers</v>
      </c>
      <c r="AS329" t="str">
        <f>"N/A"</f>
        <v>N/A</v>
      </c>
      <c r="AT329" t="s">
        <v>79</v>
      </c>
      <c r="AU329" t="str">
        <f>""</f>
        <v/>
      </c>
      <c r="AV329" t="str">
        <f>""</f>
        <v/>
      </c>
      <c r="AW329" t="s">
        <v>79</v>
      </c>
      <c r="AX329" t="str">
        <f>""</f>
        <v/>
      </c>
      <c r="AY329" t="s">
        <v>84</v>
      </c>
      <c r="BA329" t="s">
        <v>80</v>
      </c>
      <c r="BB329" t="s">
        <v>79</v>
      </c>
      <c r="BD329" t="s">
        <v>79</v>
      </c>
      <c r="BG329" t="s">
        <v>82</v>
      </c>
      <c r="BH329">
        <v>12</v>
      </c>
      <c r="BI329" t="s">
        <v>827</v>
      </c>
      <c r="BJ329" s="2" t="s">
        <v>828</v>
      </c>
      <c r="BK329" t="str">
        <f>"NAFTAN ROAD 304 OBYAN, SAIPAN MP 96950"</f>
        <v>NAFTAN ROAD 304 OBYAN, SAIPAN MP 96950</v>
      </c>
      <c r="BL329" t="str">
        <f>"PMB 139 PPP, PO BOX 10000"</f>
        <v>PMB 139 PPP, PO BOX 10000</v>
      </c>
      <c r="BM329" t="str">
        <f>"SAIPAN, MP"</f>
        <v>SAIPAN, MP</v>
      </c>
      <c r="BO329" t="s">
        <v>83</v>
      </c>
      <c r="BP329" s="4" t="str">
        <f t="shared" si="199"/>
        <v>96950</v>
      </c>
      <c r="BQ329" t="s">
        <v>79</v>
      </c>
      <c r="BR329" t="str">
        <f>"53-3032.00"</f>
        <v>53-3032.00</v>
      </c>
      <c r="BS329" t="s">
        <v>829</v>
      </c>
      <c r="BT329" s="3">
        <v>10.09</v>
      </c>
      <c r="BU329" t="s">
        <v>80</v>
      </c>
      <c r="BV329" t="s">
        <v>90</v>
      </c>
      <c r="BW329" t="s">
        <v>92</v>
      </c>
      <c r="BZ329" s="1">
        <v>45107</v>
      </c>
    </row>
    <row r="330" spans="1:78" ht="15" customHeight="1" x14ac:dyDescent="0.25">
      <c r="A330" t="s">
        <v>830</v>
      </c>
      <c r="B330" t="s">
        <v>94</v>
      </c>
      <c r="C330" s="1">
        <v>44839</v>
      </c>
      <c r="D330" s="1">
        <v>44879</v>
      </c>
      <c r="H330" t="s">
        <v>78</v>
      </c>
      <c r="I330" t="str">
        <f>"PARK"</f>
        <v>PARK</v>
      </c>
      <c r="J330" t="str">
        <f>"SUNG IL"</f>
        <v>SUNG IL</v>
      </c>
      <c r="K330" t="str">
        <f>""</f>
        <v/>
      </c>
      <c r="L330" t="str">
        <f>"VICE-PRESIDENT"</f>
        <v>VICE-PRESIDENT</v>
      </c>
      <c r="M330" t="str">
        <f>"P.O. BOX 503713"</f>
        <v>P.O. BOX 503713</v>
      </c>
      <c r="N330" t="str">
        <f>""</f>
        <v/>
      </c>
      <c r="O330" t="str">
        <f>"SAIPAN"</f>
        <v>SAIPAN</v>
      </c>
      <c r="P330" t="str">
        <f t="shared" si="200"/>
        <v>MP</v>
      </c>
      <c r="Q330" s="4" t="str">
        <f t="shared" si="201"/>
        <v>96950</v>
      </c>
      <c r="R330" t="str">
        <f t="shared" si="202"/>
        <v>UNITED STATES OF AMERICA</v>
      </c>
      <c r="S330" t="str">
        <f>""</f>
        <v/>
      </c>
      <c r="T330" s="5" t="str">
        <f>"16704840955"</f>
        <v>16704840955</v>
      </c>
      <c r="U330" t="str">
        <f>""</f>
        <v/>
      </c>
      <c r="V330" s="5" t="str">
        <f>""</f>
        <v/>
      </c>
      <c r="W330" t="str">
        <f>"CHO_JINJOOCORP@YAHOO.COM"</f>
        <v>CHO_JINJOOCORP@YAHOO.COM</v>
      </c>
      <c r="X330" t="str">
        <f>"THANKS SAIPAN OCEAN, INC."</f>
        <v>THANKS SAIPAN OCEAN, INC.</v>
      </c>
      <c r="Y330" t="str">
        <f>""</f>
        <v/>
      </c>
      <c r="Z330" t="str">
        <f>"P.O. BOX 503713"</f>
        <v>P.O. BOX 503713</v>
      </c>
      <c r="AA330" t="str">
        <f>""</f>
        <v/>
      </c>
      <c r="AB330" t="str">
        <f>"SAIPAN"</f>
        <v>SAIPAN</v>
      </c>
      <c r="AC330" t="str">
        <f t="shared" si="203"/>
        <v>MP</v>
      </c>
      <c r="AD330" t="str">
        <f t="shared" si="205"/>
        <v>96950</v>
      </c>
      <c r="AE330" t="str">
        <f t="shared" si="204"/>
        <v>UNITED STATES OF AMERICA</v>
      </c>
      <c r="AF330" t="str">
        <f>""</f>
        <v/>
      </c>
      <c r="AG330" s="4" t="str">
        <f>"16704840955"</f>
        <v>16704840955</v>
      </c>
      <c r="AH330" t="str">
        <f>""</f>
        <v/>
      </c>
      <c r="AI330" t="str">
        <f>"561510"</f>
        <v>561510</v>
      </c>
      <c r="AJ330" t="s">
        <v>79</v>
      </c>
      <c r="AK330" t="s">
        <v>79</v>
      </c>
      <c r="AL330" t="s">
        <v>80</v>
      </c>
      <c r="AM330" t="s">
        <v>79</v>
      </c>
      <c r="AP330" t="str">
        <f>"TOUR MANAGER"</f>
        <v>TOUR MANAGER</v>
      </c>
      <c r="AQ330" t="str">
        <f>""</f>
        <v/>
      </c>
      <c r="AR330" t="str">
        <f>""</f>
        <v/>
      </c>
      <c r="AS330" t="str">
        <f>"N/A"</f>
        <v>N/A</v>
      </c>
      <c r="AT330" t="s">
        <v>82</v>
      </c>
      <c r="AU330" t="str">
        <f>"2"</f>
        <v>2</v>
      </c>
      <c r="AV330" t="str">
        <f>"Subordinate"</f>
        <v>Subordinate</v>
      </c>
      <c r="AW330" t="s">
        <v>79</v>
      </c>
      <c r="AX330" t="str">
        <f>""</f>
        <v/>
      </c>
      <c r="AY330" t="s">
        <v>84</v>
      </c>
      <c r="BA330" t="s">
        <v>80</v>
      </c>
      <c r="BB330" t="s">
        <v>79</v>
      </c>
      <c r="BD330" t="s">
        <v>79</v>
      </c>
      <c r="BG330" t="s">
        <v>82</v>
      </c>
      <c r="BH330">
        <v>12</v>
      </c>
      <c r="BI330" t="s">
        <v>85</v>
      </c>
      <c r="BJ330" t="s">
        <v>831</v>
      </c>
      <c r="BK330" t="str">
        <f>"BEACH ROAD, GARAPAN"</f>
        <v>BEACH ROAD, GARAPAN</v>
      </c>
      <c r="BL330" t="str">
        <f>""</f>
        <v/>
      </c>
      <c r="BM330" t="str">
        <f>"SAIPAN"</f>
        <v>SAIPAN</v>
      </c>
      <c r="BO330" t="s">
        <v>83</v>
      </c>
      <c r="BP330" s="4" t="str">
        <f t="shared" si="199"/>
        <v>96950</v>
      </c>
      <c r="BQ330" t="s">
        <v>79</v>
      </c>
      <c r="BR330" t="str">
        <f>"39-7012.00"</f>
        <v>39-7012.00</v>
      </c>
      <c r="BS330" t="s">
        <v>832</v>
      </c>
      <c r="BT330" s="3">
        <v>10.85</v>
      </c>
      <c r="BU330" t="s">
        <v>80</v>
      </c>
      <c r="BV330" t="s">
        <v>90</v>
      </c>
      <c r="BW330" t="s">
        <v>265</v>
      </c>
      <c r="BZ330" s="1">
        <v>45107</v>
      </c>
    </row>
    <row r="331" spans="1:78" ht="15" customHeight="1" x14ac:dyDescent="0.25">
      <c r="A331" t="s">
        <v>771</v>
      </c>
      <c r="B331" t="s">
        <v>94</v>
      </c>
      <c r="C331" s="1">
        <v>44838</v>
      </c>
      <c r="D331" s="1">
        <v>44879</v>
      </c>
      <c r="H331" t="s">
        <v>78</v>
      </c>
      <c r="I331" t="str">
        <f>"VILLACRUSIS"</f>
        <v>VILLACRUSIS</v>
      </c>
      <c r="J331" t="str">
        <f>"RUEL "</f>
        <v xml:space="preserve">RUEL </v>
      </c>
      <c r="K331" t="str">
        <f>"RARO "</f>
        <v xml:space="preserve">RARO </v>
      </c>
      <c r="L331" t="str">
        <f>"GENERAL MANAGER "</f>
        <v xml:space="preserve">GENERAL MANAGER </v>
      </c>
      <c r="M331" t="str">
        <f>"PO BOX 504974"</f>
        <v>PO BOX 504974</v>
      </c>
      <c r="N331" t="str">
        <f>""</f>
        <v/>
      </c>
      <c r="O331" t="str">
        <f>"SAIPAN "</f>
        <v xml:space="preserve">SAIPAN </v>
      </c>
      <c r="P331" t="str">
        <f t="shared" si="200"/>
        <v>MP</v>
      </c>
      <c r="Q331" s="4" t="str">
        <f t="shared" si="201"/>
        <v>96950</v>
      </c>
      <c r="R331" t="str">
        <f t="shared" si="202"/>
        <v>UNITED STATES OF AMERICA</v>
      </c>
      <c r="S331" t="str">
        <f>""</f>
        <v/>
      </c>
      <c r="T331" s="5" t="str">
        <f>"16702358778"</f>
        <v>16702358778</v>
      </c>
      <c r="U331" t="str">
        <f>""</f>
        <v/>
      </c>
      <c r="V331" s="5" t="str">
        <f>""</f>
        <v/>
      </c>
      <c r="W331" t="str">
        <f>"janebaes@rnvconstruction.com"</f>
        <v>janebaes@rnvconstruction.com</v>
      </c>
      <c r="X331" t="str">
        <f>"RJCL CORPORATION "</f>
        <v xml:space="preserve">RJCL CORPORATION </v>
      </c>
      <c r="Y331" t="str">
        <f>"RNV CONSTRUCTION "</f>
        <v xml:space="preserve">RNV CONSTRUCTION </v>
      </c>
      <c r="Z331" t="str">
        <f>"PO BOX 504974 "</f>
        <v xml:space="preserve">PO BOX 504974 </v>
      </c>
      <c r="AA331" t="str">
        <f>""</f>
        <v/>
      </c>
      <c r="AB331" t="str">
        <f>"SAIPAN "</f>
        <v xml:space="preserve">SAIPAN </v>
      </c>
      <c r="AC331" t="str">
        <f t="shared" si="203"/>
        <v>MP</v>
      </c>
      <c r="AD331" t="str">
        <f t="shared" si="205"/>
        <v>96950</v>
      </c>
      <c r="AE331" t="str">
        <f t="shared" si="204"/>
        <v>UNITED STATES OF AMERICA</v>
      </c>
      <c r="AF331" t="str">
        <f>""</f>
        <v/>
      </c>
      <c r="AG331" s="4" t="str">
        <f>"16702358778"</f>
        <v>16702358778</v>
      </c>
      <c r="AH331" t="str">
        <f>""</f>
        <v/>
      </c>
      <c r="AI331" t="str">
        <f>"23622"</f>
        <v>23622</v>
      </c>
      <c r="AJ331" t="s">
        <v>79</v>
      </c>
      <c r="AK331" t="s">
        <v>79</v>
      </c>
      <c r="AL331" t="s">
        <v>80</v>
      </c>
      <c r="AM331" t="s">
        <v>79</v>
      </c>
      <c r="AP331" t="str">
        <f>"HUMAN RESOURCES SPECIALIST"</f>
        <v>HUMAN RESOURCES SPECIALIST</v>
      </c>
      <c r="AQ331" t="str">
        <f>"43-4161.00"</f>
        <v>43-4161.00</v>
      </c>
      <c r="AR331" t="str">
        <f>"Human Resources Assistants, Except Payroll and Timekeeping"</f>
        <v>Human Resources Assistants, Except Payroll and Timekeeping</v>
      </c>
      <c r="AS331" t="str">
        <f>"N/A"</f>
        <v>N/A</v>
      </c>
      <c r="AT331" t="s">
        <v>79</v>
      </c>
      <c r="AU331" t="str">
        <f>""</f>
        <v/>
      </c>
      <c r="AV331" t="str">
        <f>""</f>
        <v/>
      </c>
      <c r="AW331" t="s">
        <v>79</v>
      </c>
      <c r="AX331" t="str">
        <f>""</f>
        <v/>
      </c>
      <c r="AY331" t="s">
        <v>124</v>
      </c>
      <c r="BA331" t="s">
        <v>80</v>
      </c>
      <c r="BB331" t="s">
        <v>79</v>
      </c>
      <c r="BD331" t="s">
        <v>79</v>
      </c>
      <c r="BG331" t="s">
        <v>82</v>
      </c>
      <c r="BH331">
        <v>6</v>
      </c>
      <c r="BI331" t="s">
        <v>772</v>
      </c>
      <c r="BJ331" t="s">
        <v>773</v>
      </c>
      <c r="BK331" t="str">
        <f>"BEACHROAD GARAPAN VILLAGE "</f>
        <v xml:space="preserve">BEACHROAD GARAPAN VILLAGE </v>
      </c>
      <c r="BL331" t="str">
        <f>""</f>
        <v/>
      </c>
      <c r="BM331" t="str">
        <f>"SAIPAN "</f>
        <v xml:space="preserve">SAIPAN </v>
      </c>
      <c r="BO331" t="s">
        <v>83</v>
      </c>
      <c r="BP331" s="4" t="str">
        <f t="shared" si="199"/>
        <v>96950</v>
      </c>
      <c r="BQ331" t="s">
        <v>79</v>
      </c>
      <c r="BR331" t="str">
        <f>"43-4161.00"</f>
        <v>43-4161.00</v>
      </c>
      <c r="BS331" t="s">
        <v>338</v>
      </c>
      <c r="BT331" s="3">
        <v>10</v>
      </c>
      <c r="BU331" t="s">
        <v>80</v>
      </c>
      <c r="BV331" t="s">
        <v>90</v>
      </c>
      <c r="BW331" t="s">
        <v>92</v>
      </c>
      <c r="BZ331" s="1">
        <v>45107</v>
      </c>
    </row>
    <row r="332" spans="1:78" ht="15" customHeight="1" x14ac:dyDescent="0.25">
      <c r="A332" t="s">
        <v>774</v>
      </c>
      <c r="B332" t="s">
        <v>94</v>
      </c>
      <c r="C332" s="1">
        <v>44838</v>
      </c>
      <c r="D332" s="1">
        <v>44879</v>
      </c>
      <c r="H332" t="s">
        <v>78</v>
      </c>
      <c r="I332" t="str">
        <f>"LIANG"</f>
        <v>LIANG</v>
      </c>
      <c r="J332" t="str">
        <f>"QI HAO"</f>
        <v>QI HAO</v>
      </c>
      <c r="K332" t="str">
        <f>""</f>
        <v/>
      </c>
      <c r="L332" t="str">
        <f>"MANAGER"</f>
        <v>MANAGER</v>
      </c>
      <c r="M332" t="str">
        <f>"PMB 288 BOX 10003"</f>
        <v>PMB 288 BOX 10003</v>
      </c>
      <c r="N332" t="str">
        <f>""</f>
        <v/>
      </c>
      <c r="O332" t="str">
        <f>"SAIPAN"</f>
        <v>SAIPAN</v>
      </c>
      <c r="P332" t="str">
        <f t="shared" si="200"/>
        <v>MP</v>
      </c>
      <c r="Q332" s="4" t="str">
        <f t="shared" si="201"/>
        <v>96950</v>
      </c>
      <c r="R332" t="str">
        <f t="shared" si="202"/>
        <v>UNITED STATES OF AMERICA</v>
      </c>
      <c r="S332" t="str">
        <f>""</f>
        <v/>
      </c>
      <c r="T332" s="5" t="str">
        <f>"16702872199"</f>
        <v>16702872199</v>
      </c>
      <c r="U332" t="str">
        <f>""</f>
        <v/>
      </c>
      <c r="V332" s="5" t="str">
        <f>""</f>
        <v/>
      </c>
      <c r="W332" t="str">
        <f>"Liangqihao88@gmail.com"</f>
        <v>Liangqihao88@gmail.com</v>
      </c>
      <c r="X332" t="str">
        <f>"SHINING SAR TRADING"</f>
        <v>SHINING SAR TRADING</v>
      </c>
      <c r="Y332" t="str">
        <f>""</f>
        <v/>
      </c>
      <c r="Z332" t="str">
        <f>"PMB 288 BOX 10003"</f>
        <v>PMB 288 BOX 10003</v>
      </c>
      <c r="AA332" t="str">
        <f>""</f>
        <v/>
      </c>
      <c r="AB332" t="str">
        <f>"SAIPAN"</f>
        <v>SAIPAN</v>
      </c>
      <c r="AC332" t="str">
        <f t="shared" si="203"/>
        <v>MP</v>
      </c>
      <c r="AD332" t="str">
        <f t="shared" si="205"/>
        <v>96950</v>
      </c>
      <c r="AE332" t="str">
        <f t="shared" si="204"/>
        <v>UNITED STATES OF AMERICA</v>
      </c>
      <c r="AF332" t="str">
        <f>""</f>
        <v/>
      </c>
      <c r="AG332" s="4" t="str">
        <f>"16702872199"</f>
        <v>16702872199</v>
      </c>
      <c r="AH332" t="str">
        <f>""</f>
        <v/>
      </c>
      <c r="AI332" t="str">
        <f>"561520"</f>
        <v>561520</v>
      </c>
      <c r="AJ332" t="s">
        <v>79</v>
      </c>
      <c r="AK332" t="s">
        <v>79</v>
      </c>
      <c r="AL332" t="s">
        <v>80</v>
      </c>
      <c r="AM332" t="s">
        <v>79</v>
      </c>
      <c r="AP332" t="str">
        <f>"Tour Guides and Escorts"</f>
        <v>Tour Guides and Escorts</v>
      </c>
      <c r="AQ332" t="str">
        <f>"39-7011.00"</f>
        <v>39-7011.00</v>
      </c>
      <c r="AR332" t="str">
        <f>"Tour Guides and Escorts"</f>
        <v>Tour Guides and Escorts</v>
      </c>
      <c r="AS332" t="str">
        <f>"N/A"</f>
        <v>N/A</v>
      </c>
      <c r="AT332" t="s">
        <v>79</v>
      </c>
      <c r="AU332" t="str">
        <f>""</f>
        <v/>
      </c>
      <c r="AV332" t="str">
        <f>""</f>
        <v/>
      </c>
      <c r="AW332" t="s">
        <v>82</v>
      </c>
      <c r="AX332" t="str">
        <f>"TRAVEL WITHIN SAIPAN, NORTHERN MARIANA BOUNDARIES OF HISTORICAL PLACES LIKE BANZAI CLIFF, SUICIDE CLIFF,GROTTO, BIRD ISLAND, CALAVERA CAVE ETC.."</f>
        <v>TRAVEL WITHIN SAIPAN, NORTHERN MARIANA BOUNDARIES OF HISTORICAL PLACES LIKE BANZAI CLIFF, SUICIDE CLIFF,GROTTO, BIRD ISLAND, CALAVERA CAVE ETC..</v>
      </c>
      <c r="AY332" t="s">
        <v>84</v>
      </c>
      <c r="BA332" t="s">
        <v>80</v>
      </c>
      <c r="BB332" t="s">
        <v>79</v>
      </c>
      <c r="BD332" t="s">
        <v>79</v>
      </c>
      <c r="BG332" t="s">
        <v>82</v>
      </c>
      <c r="BH332">
        <v>12</v>
      </c>
      <c r="BI332" t="s">
        <v>775</v>
      </c>
      <c r="BJ332" s="2" t="s">
        <v>776</v>
      </c>
      <c r="BK332" t="str">
        <f>"GARAPAN"</f>
        <v>GARAPAN</v>
      </c>
      <c r="BL332" t="str">
        <f>""</f>
        <v/>
      </c>
      <c r="BM332" t="str">
        <f>"SAIPAN"</f>
        <v>SAIPAN</v>
      </c>
      <c r="BO332" t="s">
        <v>83</v>
      </c>
      <c r="BP332" s="4" t="str">
        <f t="shared" si="199"/>
        <v>96950</v>
      </c>
      <c r="BQ332" t="s">
        <v>79</v>
      </c>
      <c r="BR332" t="str">
        <f>"39-7011.00"</f>
        <v>39-7011.00</v>
      </c>
      <c r="BS332" t="s">
        <v>451</v>
      </c>
      <c r="BT332" s="3">
        <v>10.85</v>
      </c>
      <c r="BU332" t="s">
        <v>80</v>
      </c>
      <c r="BV332" t="s">
        <v>90</v>
      </c>
      <c r="BW332" t="s">
        <v>265</v>
      </c>
      <c r="BZ332" s="1">
        <v>45107</v>
      </c>
    </row>
    <row r="333" spans="1:78" ht="15" customHeight="1" x14ac:dyDescent="0.25">
      <c r="A333" t="s">
        <v>777</v>
      </c>
      <c r="B333" t="s">
        <v>94</v>
      </c>
      <c r="C333" s="1">
        <v>44838</v>
      </c>
      <c r="D333" s="1">
        <v>44879</v>
      </c>
      <c r="H333" t="s">
        <v>78</v>
      </c>
      <c r="I333" t="str">
        <f>"VEREEN"</f>
        <v>VEREEN</v>
      </c>
      <c r="J333" t="str">
        <f>"MARK"</f>
        <v>MARK</v>
      </c>
      <c r="K333" t="str">
        <f>"A"</f>
        <v>A</v>
      </c>
      <c r="L333" t="str">
        <f>"GENERAL MANAGER"</f>
        <v>GENERAL MANAGER</v>
      </c>
      <c r="M333" t="str">
        <f>"NAFTAN ROAD 304 OBYAN, SAIPAN MP 96950"</f>
        <v>NAFTAN ROAD 304 OBYAN, SAIPAN MP 96950</v>
      </c>
      <c r="N333" t="str">
        <f>"PMB 139 PPP, PO BOX 10000"</f>
        <v>PMB 139 PPP, PO BOX 10000</v>
      </c>
      <c r="O333" t="str">
        <f>"SAIPAN, MP"</f>
        <v>SAIPAN, MP</v>
      </c>
      <c r="P333" t="str">
        <f t="shared" si="200"/>
        <v>MP</v>
      </c>
      <c r="Q333" s="4" t="str">
        <f t="shared" si="201"/>
        <v>96950</v>
      </c>
      <c r="R333" t="str">
        <f t="shared" si="202"/>
        <v>UNITED STATES OF AMERICA</v>
      </c>
      <c r="S333" t="str">
        <f>""</f>
        <v/>
      </c>
      <c r="T333" s="5" t="str">
        <f>"16702880404"</f>
        <v>16702880404</v>
      </c>
      <c r="U333" t="str">
        <f>"33"</f>
        <v>33</v>
      </c>
      <c r="V333" s="5" t="str">
        <f>""</f>
        <v/>
      </c>
      <c r="W333" t="str">
        <f>"mvereen@hawaiianrock.com"</f>
        <v>mvereen@hawaiianrock.com</v>
      </c>
      <c r="X333" t="str">
        <f>"HAWAIIAN ROCK PRODUCTS CORPORTION"</f>
        <v>HAWAIIAN ROCK PRODUCTS CORPORTION</v>
      </c>
      <c r="Y333" t="str">
        <f>"HAWIIAN ROCK PRODUCTS"</f>
        <v>HAWIIAN ROCK PRODUCTS</v>
      </c>
      <c r="Z333" t="str">
        <f>"NAFTAN ROAD 304 OBYAN, SAIPAN MP 96950"</f>
        <v>NAFTAN ROAD 304 OBYAN, SAIPAN MP 96950</v>
      </c>
      <c r="AA333" t="str">
        <f>"PMB 139 PPP, PO BOX 10000"</f>
        <v>PMB 139 PPP, PO BOX 10000</v>
      </c>
      <c r="AB333" t="str">
        <f>"SAIPAN, MP"</f>
        <v>SAIPAN, MP</v>
      </c>
      <c r="AC333" t="str">
        <f t="shared" si="203"/>
        <v>MP</v>
      </c>
      <c r="AD333" t="str">
        <f t="shared" si="205"/>
        <v>96950</v>
      </c>
      <c r="AE333" t="str">
        <f t="shared" si="204"/>
        <v>UNITED STATES OF AMERICA</v>
      </c>
      <c r="AF333" t="str">
        <f>""</f>
        <v/>
      </c>
      <c r="AG333" s="4" t="str">
        <f>"16702880407"</f>
        <v>16702880407</v>
      </c>
      <c r="AH333" t="str">
        <f>"33"</f>
        <v>33</v>
      </c>
      <c r="AI333" t="str">
        <f>"212312"</f>
        <v>212312</v>
      </c>
      <c r="AJ333" t="s">
        <v>79</v>
      </c>
      <c r="AK333" t="s">
        <v>79</v>
      </c>
      <c r="AL333" t="s">
        <v>80</v>
      </c>
      <c r="AM333" t="s">
        <v>79</v>
      </c>
      <c r="AP333" t="str">
        <f>"CIVIL ENGINEERING TECHNICIANS"</f>
        <v>CIVIL ENGINEERING TECHNICIANS</v>
      </c>
      <c r="AQ333" t="str">
        <f>"17-3022.00"</f>
        <v>17-3022.00</v>
      </c>
      <c r="AR333" t="str">
        <f>"Civil Engineering Technologists and Technicians"</f>
        <v>Civil Engineering Technologists and Technicians</v>
      </c>
      <c r="AS333" t="str">
        <f>"NONE"</f>
        <v>NONE</v>
      </c>
      <c r="AT333" t="s">
        <v>79</v>
      </c>
      <c r="AU333" t="str">
        <f>""</f>
        <v/>
      </c>
      <c r="AV333" t="str">
        <f>""</f>
        <v/>
      </c>
      <c r="AW333" t="s">
        <v>79</v>
      </c>
      <c r="AX333" t="str">
        <f>""</f>
        <v/>
      </c>
      <c r="AY333" t="s">
        <v>124</v>
      </c>
      <c r="BA333" t="s">
        <v>80</v>
      </c>
      <c r="BB333" t="s">
        <v>79</v>
      </c>
      <c r="BD333" t="s">
        <v>79</v>
      </c>
      <c r="BG333" t="s">
        <v>82</v>
      </c>
      <c r="BH333">
        <v>12</v>
      </c>
      <c r="BI333" t="s">
        <v>778</v>
      </c>
      <c r="BJ333" t="s">
        <v>779</v>
      </c>
      <c r="BK333" t="str">
        <f>"NAFTAN ROAD 304 OBYAN, SAIPAN MP 96950"</f>
        <v>NAFTAN ROAD 304 OBYAN, SAIPAN MP 96950</v>
      </c>
      <c r="BL333" t="str">
        <f>"PMB 139 PPP, PO BOX 10000"</f>
        <v>PMB 139 PPP, PO BOX 10000</v>
      </c>
      <c r="BM333" t="str">
        <f>"SAIPAN, MP"</f>
        <v>SAIPAN, MP</v>
      </c>
      <c r="BO333" t="s">
        <v>83</v>
      </c>
      <c r="BP333" s="4" t="str">
        <f t="shared" si="199"/>
        <v>96950</v>
      </c>
      <c r="BQ333" t="s">
        <v>79</v>
      </c>
      <c r="BR333" t="str">
        <f>"17-3022.00"</f>
        <v>17-3022.00</v>
      </c>
      <c r="BS333" t="s">
        <v>490</v>
      </c>
      <c r="BT333" s="3">
        <v>16.75</v>
      </c>
      <c r="BU333" t="s">
        <v>80</v>
      </c>
      <c r="BV333" t="s">
        <v>90</v>
      </c>
      <c r="BW333" t="s">
        <v>92</v>
      </c>
      <c r="BZ333" s="1">
        <v>45107</v>
      </c>
    </row>
    <row r="334" spans="1:78" ht="15" customHeight="1" x14ac:dyDescent="0.25">
      <c r="A334" t="s">
        <v>780</v>
      </c>
      <c r="B334" t="s">
        <v>94</v>
      </c>
      <c r="C334" s="1">
        <v>44838</v>
      </c>
      <c r="D334" s="1">
        <v>44879</v>
      </c>
      <c r="H334" t="s">
        <v>78</v>
      </c>
      <c r="I334" t="str">
        <f>"VEREEN"</f>
        <v>VEREEN</v>
      </c>
      <c r="J334" t="str">
        <f>"MARK"</f>
        <v>MARK</v>
      </c>
      <c r="K334" t="str">
        <f>"A"</f>
        <v>A</v>
      </c>
      <c r="L334" t="str">
        <f>"GENERAL MANAGER"</f>
        <v>GENERAL MANAGER</v>
      </c>
      <c r="M334" t="str">
        <f>"NAFTAN ROAD 304 OBYAN, SAIPAN MP 96950"</f>
        <v>NAFTAN ROAD 304 OBYAN, SAIPAN MP 96950</v>
      </c>
      <c r="N334" t="str">
        <f>"PMB 139 PPP, PO BOX 10000"</f>
        <v>PMB 139 PPP, PO BOX 10000</v>
      </c>
      <c r="O334" t="str">
        <f>"SAIPAN, MP"</f>
        <v>SAIPAN, MP</v>
      </c>
      <c r="P334" t="str">
        <f t="shared" si="200"/>
        <v>MP</v>
      </c>
      <c r="Q334" s="4" t="str">
        <f t="shared" si="201"/>
        <v>96950</v>
      </c>
      <c r="R334" t="str">
        <f t="shared" si="202"/>
        <v>UNITED STATES OF AMERICA</v>
      </c>
      <c r="S334" t="str">
        <f>""</f>
        <v/>
      </c>
      <c r="T334" s="5" t="str">
        <f>"16702880407"</f>
        <v>16702880407</v>
      </c>
      <c r="U334" t="str">
        <f>"33"</f>
        <v>33</v>
      </c>
      <c r="V334" s="5" t="str">
        <f>""</f>
        <v/>
      </c>
      <c r="W334" t="str">
        <f>"mvereen@hawaiianrock.com"</f>
        <v>mvereen@hawaiianrock.com</v>
      </c>
      <c r="X334" t="str">
        <f>"HAWAIIAN ROCK PRODUCTS CORPORATION"</f>
        <v>HAWAIIAN ROCK PRODUCTS CORPORATION</v>
      </c>
      <c r="Y334" t="str">
        <f>"HAWIIAN ROCK PRODUCTS"</f>
        <v>HAWIIAN ROCK PRODUCTS</v>
      </c>
      <c r="Z334" t="str">
        <f>"NAFTAN ROAD 304 OBYAN, SAIPAN MP 96950"</f>
        <v>NAFTAN ROAD 304 OBYAN, SAIPAN MP 96950</v>
      </c>
      <c r="AA334" t="str">
        <f>"PMB 139 PPP, PO BOX 10000"</f>
        <v>PMB 139 PPP, PO BOX 10000</v>
      </c>
      <c r="AB334" t="str">
        <f>"SAIPAN, MP"</f>
        <v>SAIPAN, MP</v>
      </c>
      <c r="AC334" t="str">
        <f t="shared" si="203"/>
        <v>MP</v>
      </c>
      <c r="AD334" t="str">
        <f t="shared" si="205"/>
        <v>96950</v>
      </c>
      <c r="AE334" t="str">
        <f t="shared" si="204"/>
        <v>UNITED STATES OF AMERICA</v>
      </c>
      <c r="AF334" t="str">
        <f>""</f>
        <v/>
      </c>
      <c r="AG334" s="4" t="str">
        <f>"16702880407"</f>
        <v>16702880407</v>
      </c>
      <c r="AH334" t="str">
        <f>"33"</f>
        <v>33</v>
      </c>
      <c r="AI334" t="str">
        <f>"212312"</f>
        <v>212312</v>
      </c>
      <c r="AJ334" t="s">
        <v>79</v>
      </c>
      <c r="AK334" t="s">
        <v>79</v>
      </c>
      <c r="AL334" t="s">
        <v>80</v>
      </c>
      <c r="AM334" t="s">
        <v>79</v>
      </c>
      <c r="AP334" t="str">
        <f>"EXCAVATING AND LOADING MACHINE OPERATOR"</f>
        <v>EXCAVATING AND LOADING MACHINE OPERATOR</v>
      </c>
      <c r="AQ334" t="str">
        <f>""</f>
        <v/>
      </c>
      <c r="AR334" t="str">
        <f>""</f>
        <v/>
      </c>
      <c r="AS334" t="str">
        <f>"EXCAVATING AND LOADING MACHINE OPERATOR"</f>
        <v>EXCAVATING AND LOADING MACHINE OPERATOR</v>
      </c>
      <c r="AT334" t="s">
        <v>79</v>
      </c>
      <c r="AU334" t="str">
        <f>""</f>
        <v/>
      </c>
      <c r="AV334" t="str">
        <f>""</f>
        <v/>
      </c>
      <c r="AW334" t="s">
        <v>79</v>
      </c>
      <c r="AX334" t="str">
        <f>""</f>
        <v/>
      </c>
      <c r="AY334" t="s">
        <v>84</v>
      </c>
      <c r="BA334" t="s">
        <v>80</v>
      </c>
      <c r="BB334" t="s">
        <v>79</v>
      </c>
      <c r="BD334" t="s">
        <v>79</v>
      </c>
      <c r="BG334" t="s">
        <v>82</v>
      </c>
      <c r="BH334">
        <v>12</v>
      </c>
      <c r="BI334" t="s">
        <v>781</v>
      </c>
      <c r="BJ334" s="2" t="s">
        <v>782</v>
      </c>
      <c r="BK334" t="str">
        <f>"NAFTAN ROAD 304 OBYAN, SAIPAN MP 96950"</f>
        <v>NAFTAN ROAD 304 OBYAN, SAIPAN MP 96950</v>
      </c>
      <c r="BL334" t="str">
        <f>"PMB 139 PPP, PO BOX 10000"</f>
        <v>PMB 139 PPP, PO BOX 10000</v>
      </c>
      <c r="BM334" t="str">
        <f>"SAIPAN, MP"</f>
        <v>SAIPAN, MP</v>
      </c>
      <c r="BO334" t="s">
        <v>83</v>
      </c>
      <c r="BP334" s="4" t="str">
        <f t="shared" si="199"/>
        <v>96950</v>
      </c>
      <c r="BQ334" t="s">
        <v>79</v>
      </c>
      <c r="BR334" t="str">
        <f>"47-5022.00"</f>
        <v>47-5022.00</v>
      </c>
      <c r="BS334" t="s">
        <v>783</v>
      </c>
      <c r="BT334" s="3">
        <v>16.3</v>
      </c>
      <c r="BU334" t="s">
        <v>80</v>
      </c>
      <c r="BV334" t="s">
        <v>90</v>
      </c>
      <c r="BW334" t="s">
        <v>265</v>
      </c>
      <c r="BZ334" s="1">
        <v>45107</v>
      </c>
    </row>
    <row r="335" spans="1:78" ht="15" customHeight="1" x14ac:dyDescent="0.25">
      <c r="A335" t="s">
        <v>784</v>
      </c>
      <c r="B335" t="s">
        <v>94</v>
      </c>
      <c r="C335" s="1">
        <v>44838</v>
      </c>
      <c r="D335" s="1">
        <v>44879</v>
      </c>
      <c r="H335" t="s">
        <v>78</v>
      </c>
      <c r="I335" t="str">
        <f>"VEREEN"</f>
        <v>VEREEN</v>
      </c>
      <c r="J335" t="str">
        <f>"MARK"</f>
        <v>MARK</v>
      </c>
      <c r="K335" t="str">
        <f>"A"</f>
        <v>A</v>
      </c>
      <c r="L335" t="str">
        <f>"GENERAL MANAGER"</f>
        <v>GENERAL MANAGER</v>
      </c>
      <c r="M335" t="str">
        <f>"NAFTAN ROAD 304 OBYAN, SAIPAN MP 96950"</f>
        <v>NAFTAN ROAD 304 OBYAN, SAIPAN MP 96950</v>
      </c>
      <c r="N335" t="str">
        <f>"PMB 139 PPP, PO BOX 10000"</f>
        <v>PMB 139 PPP, PO BOX 10000</v>
      </c>
      <c r="O335" t="str">
        <f>"SAIPAN, MP"</f>
        <v>SAIPAN, MP</v>
      </c>
      <c r="P335" t="str">
        <f t="shared" si="200"/>
        <v>MP</v>
      </c>
      <c r="Q335" s="4" t="str">
        <f t="shared" si="201"/>
        <v>96950</v>
      </c>
      <c r="R335" t="str">
        <f t="shared" si="202"/>
        <v>UNITED STATES OF AMERICA</v>
      </c>
      <c r="S335" t="str">
        <f>""</f>
        <v/>
      </c>
      <c r="T335" s="5" t="str">
        <f>"16702880407"</f>
        <v>16702880407</v>
      </c>
      <c r="U335" t="str">
        <f>"33"</f>
        <v>33</v>
      </c>
      <c r="V335" s="5" t="str">
        <f>""</f>
        <v/>
      </c>
      <c r="W335" t="str">
        <f>"mvereen@hawaiianrock.com"</f>
        <v>mvereen@hawaiianrock.com</v>
      </c>
      <c r="X335" t="str">
        <f>"HAWAIIAN ROCK PRODUCTS CORPORATION"</f>
        <v>HAWAIIAN ROCK PRODUCTS CORPORATION</v>
      </c>
      <c r="Y335" t="str">
        <f>"HAWAIIAN ROCK PRODUCTS"</f>
        <v>HAWAIIAN ROCK PRODUCTS</v>
      </c>
      <c r="Z335" t="str">
        <f>"NAFTAN ROAD 304 OBYAN, SAIPAN MP 96950"</f>
        <v>NAFTAN ROAD 304 OBYAN, SAIPAN MP 96950</v>
      </c>
      <c r="AA335" t="str">
        <f>"PMB 139 PPP, PO BOX 10000"</f>
        <v>PMB 139 PPP, PO BOX 10000</v>
      </c>
      <c r="AB335" t="str">
        <f>"SAIPAN, MP"</f>
        <v>SAIPAN, MP</v>
      </c>
      <c r="AC335" t="str">
        <f t="shared" si="203"/>
        <v>MP</v>
      </c>
      <c r="AD335" t="str">
        <f t="shared" si="205"/>
        <v>96950</v>
      </c>
      <c r="AE335" t="str">
        <f t="shared" si="204"/>
        <v>UNITED STATES OF AMERICA</v>
      </c>
      <c r="AF335" t="str">
        <f>""</f>
        <v/>
      </c>
      <c r="AG335" s="4" t="str">
        <f>"16702880407"</f>
        <v>16702880407</v>
      </c>
      <c r="AH335" t="str">
        <f>"33"</f>
        <v>33</v>
      </c>
      <c r="AI335" t="str">
        <f>"2123"</f>
        <v>2123</v>
      </c>
      <c r="AJ335" t="s">
        <v>79</v>
      </c>
      <c r="AK335" t="s">
        <v>79</v>
      </c>
      <c r="AL335" t="s">
        <v>80</v>
      </c>
      <c r="AM335" t="s">
        <v>79</v>
      </c>
      <c r="AP335" t="str">
        <f>"WELDING, SOLDERING, AND BRAZING MACHINE OPERATORS"</f>
        <v>WELDING, SOLDERING, AND BRAZING MACHINE OPERATORS</v>
      </c>
      <c r="AQ335" t="str">
        <f>"51-4121.00"</f>
        <v>51-4121.00</v>
      </c>
      <c r="AR335" t="str">
        <f>"Welders, Cutters, Solderers, and Brazers"</f>
        <v>Welders, Cutters, Solderers, and Brazers</v>
      </c>
      <c r="AS335" t="str">
        <f>"N/A"</f>
        <v>N/A</v>
      </c>
      <c r="AT335" t="s">
        <v>79</v>
      </c>
      <c r="AU335" t="str">
        <f>""</f>
        <v/>
      </c>
      <c r="AV335" t="str">
        <f>""</f>
        <v/>
      </c>
      <c r="AW335" t="s">
        <v>79</v>
      </c>
      <c r="AX335" t="str">
        <f>""</f>
        <v/>
      </c>
      <c r="AY335" t="s">
        <v>84</v>
      </c>
      <c r="BA335" t="s">
        <v>80</v>
      </c>
      <c r="BB335" t="s">
        <v>79</v>
      </c>
      <c r="BD335" t="s">
        <v>79</v>
      </c>
      <c r="BG335" t="s">
        <v>82</v>
      </c>
      <c r="BH335">
        <v>12</v>
      </c>
      <c r="BI335" t="s">
        <v>785</v>
      </c>
      <c r="BJ335" t="s">
        <v>786</v>
      </c>
      <c r="BK335" t="str">
        <f>"NAFTAN ROAD 304 OBYAN, SAIPAN MP 96950"</f>
        <v>NAFTAN ROAD 304 OBYAN, SAIPAN MP 96950</v>
      </c>
      <c r="BL335" t="str">
        <f>"PMB 139 PPP, PO BOX 10000"</f>
        <v>PMB 139 PPP, PO BOX 10000</v>
      </c>
      <c r="BM335" t="str">
        <f>"SAIPAN, MP"</f>
        <v>SAIPAN, MP</v>
      </c>
      <c r="BO335" t="s">
        <v>83</v>
      </c>
      <c r="BP335" s="4" t="str">
        <f t="shared" si="199"/>
        <v>96950</v>
      </c>
      <c r="BQ335" t="s">
        <v>79</v>
      </c>
      <c r="BR335" t="str">
        <f>"51-4122.00"</f>
        <v>51-4122.00</v>
      </c>
      <c r="BS335" t="s">
        <v>787</v>
      </c>
      <c r="BT335" s="3">
        <v>14.04</v>
      </c>
      <c r="BU335" t="s">
        <v>80</v>
      </c>
      <c r="BV335" t="s">
        <v>90</v>
      </c>
      <c r="BW335" t="s">
        <v>265</v>
      </c>
      <c r="BZ335" s="1">
        <v>45107</v>
      </c>
    </row>
    <row r="336" spans="1:78" ht="15" customHeight="1" x14ac:dyDescent="0.25">
      <c r="A336" t="s">
        <v>788</v>
      </c>
      <c r="B336" t="s">
        <v>94</v>
      </c>
      <c r="C336" s="1">
        <v>44838</v>
      </c>
      <c r="D336" s="1">
        <v>44879</v>
      </c>
      <c r="H336" t="s">
        <v>78</v>
      </c>
      <c r="I336" t="str">
        <f>"VEREEN"</f>
        <v>VEREEN</v>
      </c>
      <c r="J336" t="str">
        <f>"MARK"</f>
        <v>MARK</v>
      </c>
      <c r="K336" t="str">
        <f>"A"</f>
        <v>A</v>
      </c>
      <c r="L336" t="str">
        <f>"GENERAL MANGER"</f>
        <v>GENERAL MANGER</v>
      </c>
      <c r="M336" t="str">
        <f>"NAFTAN ROAD 304 OBYAN, SAIPAN MP 96950"</f>
        <v>NAFTAN ROAD 304 OBYAN, SAIPAN MP 96950</v>
      </c>
      <c r="N336" t="str">
        <f>"PMB 139 PPP, PO BOX 10000"</f>
        <v>PMB 139 PPP, PO BOX 10000</v>
      </c>
      <c r="O336" t="str">
        <f>"SAIPAN, MP"</f>
        <v>SAIPAN, MP</v>
      </c>
      <c r="P336" t="str">
        <f t="shared" si="200"/>
        <v>MP</v>
      </c>
      <c r="Q336" s="4" t="str">
        <f t="shared" si="201"/>
        <v>96950</v>
      </c>
      <c r="R336" t="str">
        <f t="shared" si="202"/>
        <v>UNITED STATES OF AMERICA</v>
      </c>
      <c r="S336" t="str">
        <f>""</f>
        <v/>
      </c>
      <c r="T336" s="5" t="str">
        <f>"16702880407"</f>
        <v>16702880407</v>
      </c>
      <c r="U336" t="str">
        <f>"33"</f>
        <v>33</v>
      </c>
      <c r="V336" s="5" t="str">
        <f>""</f>
        <v/>
      </c>
      <c r="W336" t="str">
        <f>"mvereen@hawaiianrock.com"</f>
        <v>mvereen@hawaiianrock.com</v>
      </c>
      <c r="X336" t="str">
        <f>"HAWAIIAN ROCK PRODUCTS CORPORATION"</f>
        <v>HAWAIIAN ROCK PRODUCTS CORPORATION</v>
      </c>
      <c r="Y336" t="str">
        <f>"HAWAIIAN ROCK PRODUCTS"</f>
        <v>HAWAIIAN ROCK PRODUCTS</v>
      </c>
      <c r="Z336" t="str">
        <f>"NAFTAN ROAD 304 OBYAN, SAIPAN MP 96950"</f>
        <v>NAFTAN ROAD 304 OBYAN, SAIPAN MP 96950</v>
      </c>
      <c r="AA336" t="str">
        <f>"PMB 139 PPP, PO BOX 10000"</f>
        <v>PMB 139 PPP, PO BOX 10000</v>
      </c>
      <c r="AB336" t="str">
        <f>"SAIPAN, MP"</f>
        <v>SAIPAN, MP</v>
      </c>
      <c r="AC336" t="str">
        <f t="shared" si="203"/>
        <v>MP</v>
      </c>
      <c r="AD336" t="str">
        <f t="shared" si="205"/>
        <v>96950</v>
      </c>
      <c r="AE336" t="str">
        <f t="shared" si="204"/>
        <v>UNITED STATES OF AMERICA</v>
      </c>
      <c r="AF336" t="str">
        <f>""</f>
        <v/>
      </c>
      <c r="AG336" s="4" t="str">
        <f>"16702880407"</f>
        <v>16702880407</v>
      </c>
      <c r="AH336" t="str">
        <f>"33"</f>
        <v>33</v>
      </c>
      <c r="AI336" t="str">
        <f>"2123"</f>
        <v>2123</v>
      </c>
      <c r="AJ336" t="s">
        <v>79</v>
      </c>
      <c r="AK336" t="s">
        <v>79</v>
      </c>
      <c r="AL336" t="s">
        <v>80</v>
      </c>
      <c r="AM336" t="s">
        <v>79</v>
      </c>
      <c r="AP336" t="str">
        <f>"CONVEYOR OPERATORS AND TENDERS"</f>
        <v>CONVEYOR OPERATORS AND TENDERS</v>
      </c>
      <c r="AQ336" t="str">
        <f>"53-7011.00"</f>
        <v>53-7011.00</v>
      </c>
      <c r="AR336" t="str">
        <f>"Conveyor Operators and Tenders"</f>
        <v>Conveyor Operators and Tenders</v>
      </c>
      <c r="AS336" t="str">
        <f>"N/A"</f>
        <v>N/A</v>
      </c>
      <c r="AT336" t="s">
        <v>79</v>
      </c>
      <c r="AU336" t="str">
        <f>""</f>
        <v/>
      </c>
      <c r="AV336" t="str">
        <f>""</f>
        <v/>
      </c>
      <c r="AW336" t="s">
        <v>79</v>
      </c>
      <c r="AX336" t="str">
        <f>""</f>
        <v/>
      </c>
      <c r="AY336" t="s">
        <v>84</v>
      </c>
      <c r="BA336" t="s">
        <v>80</v>
      </c>
      <c r="BB336" t="s">
        <v>79</v>
      </c>
      <c r="BD336" t="s">
        <v>79</v>
      </c>
      <c r="BG336" t="s">
        <v>82</v>
      </c>
      <c r="BH336">
        <v>3</v>
      </c>
      <c r="BI336" t="s">
        <v>789</v>
      </c>
      <c r="BJ336" t="s">
        <v>790</v>
      </c>
      <c r="BK336" t="str">
        <f>"NAFTAN ROAD 304 OBYAN, SAIPAN MP 96950"</f>
        <v>NAFTAN ROAD 304 OBYAN, SAIPAN MP 96950</v>
      </c>
      <c r="BL336" t="str">
        <f>"PMB 139 PPP, PO BOX 10000"</f>
        <v>PMB 139 PPP, PO BOX 10000</v>
      </c>
      <c r="BM336" t="str">
        <f>"SAIPAN, MP"</f>
        <v>SAIPAN, MP</v>
      </c>
      <c r="BO336" t="s">
        <v>83</v>
      </c>
      <c r="BP336" s="4" t="str">
        <f t="shared" si="199"/>
        <v>96950</v>
      </c>
      <c r="BQ336" t="s">
        <v>79</v>
      </c>
      <c r="BR336" t="str">
        <f>"53-7011.00"</f>
        <v>53-7011.00</v>
      </c>
      <c r="BS336" t="s">
        <v>791</v>
      </c>
      <c r="BT336" s="3">
        <v>10.17</v>
      </c>
      <c r="BU336" t="s">
        <v>80</v>
      </c>
      <c r="BV336" t="s">
        <v>90</v>
      </c>
      <c r="BW336" t="s">
        <v>92</v>
      </c>
      <c r="BZ336" s="1">
        <v>45107</v>
      </c>
    </row>
    <row r="337" spans="1:78" ht="15" customHeight="1" x14ac:dyDescent="0.25">
      <c r="A337" t="s">
        <v>796</v>
      </c>
      <c r="B337" t="s">
        <v>94</v>
      </c>
      <c r="C337" s="1">
        <v>44838</v>
      </c>
      <c r="D337" s="1">
        <v>44879</v>
      </c>
      <c r="H337" t="s">
        <v>78</v>
      </c>
      <c r="I337" t="str">
        <f>"VEREEN"</f>
        <v>VEREEN</v>
      </c>
      <c r="J337" t="str">
        <f>"MARK"</f>
        <v>MARK</v>
      </c>
      <c r="K337" t="str">
        <f>"A"</f>
        <v>A</v>
      </c>
      <c r="L337" t="str">
        <f>"GENERAL MANAGER"</f>
        <v>GENERAL MANAGER</v>
      </c>
      <c r="M337" t="str">
        <f>"NAFTAN ROAD 304 OBYAN, SAIPAN MP 96950"</f>
        <v>NAFTAN ROAD 304 OBYAN, SAIPAN MP 96950</v>
      </c>
      <c r="N337" t="str">
        <f>"PMB 139 PPP, PO BOX 10000"</f>
        <v>PMB 139 PPP, PO BOX 10000</v>
      </c>
      <c r="O337" t="str">
        <f>"SAIPAN, MP"</f>
        <v>SAIPAN, MP</v>
      </c>
      <c r="P337" t="str">
        <f t="shared" si="200"/>
        <v>MP</v>
      </c>
      <c r="Q337" s="4" t="str">
        <f t="shared" si="201"/>
        <v>96950</v>
      </c>
      <c r="R337" t="str">
        <f t="shared" si="202"/>
        <v>UNITED STATES OF AMERICA</v>
      </c>
      <c r="S337" t="str">
        <f>""</f>
        <v/>
      </c>
      <c r="T337" s="5" t="str">
        <f>"16702880407"</f>
        <v>16702880407</v>
      </c>
      <c r="U337" t="str">
        <f>"33"</f>
        <v>33</v>
      </c>
      <c r="V337" s="5" t="str">
        <f>""</f>
        <v/>
      </c>
      <c r="W337" t="str">
        <f>"mvereen@hawiianrock.com"</f>
        <v>mvereen@hawiianrock.com</v>
      </c>
      <c r="X337" t="str">
        <f>"HAWAIIAN ROCK PRODUCTS CORPORATION"</f>
        <v>HAWAIIAN ROCK PRODUCTS CORPORATION</v>
      </c>
      <c r="Y337" t="str">
        <f>"HAWAIIAN ROCK PRODUCTS"</f>
        <v>HAWAIIAN ROCK PRODUCTS</v>
      </c>
      <c r="Z337" t="str">
        <f>"NAFTAN ROAD 304 OBYAN, SAIPAN MP 96950"</f>
        <v>NAFTAN ROAD 304 OBYAN, SAIPAN MP 96950</v>
      </c>
      <c r="AA337" t="str">
        <f>"PMB 139 PPP, PO BOX 10000"</f>
        <v>PMB 139 PPP, PO BOX 10000</v>
      </c>
      <c r="AB337" t="str">
        <f>"SAIPAN, MP"</f>
        <v>SAIPAN, MP</v>
      </c>
      <c r="AC337" t="str">
        <f t="shared" si="203"/>
        <v>MP</v>
      </c>
      <c r="AD337" t="str">
        <f t="shared" si="205"/>
        <v>96950</v>
      </c>
      <c r="AE337" t="str">
        <f t="shared" si="204"/>
        <v>UNITED STATES OF AMERICA</v>
      </c>
      <c r="AF337" t="str">
        <f>""</f>
        <v/>
      </c>
      <c r="AG337" s="4" t="str">
        <f>"16702880407"</f>
        <v>16702880407</v>
      </c>
      <c r="AH337" t="str">
        <f>"33"</f>
        <v>33</v>
      </c>
      <c r="AI337" t="str">
        <f>"2123"</f>
        <v>2123</v>
      </c>
      <c r="AJ337" t="s">
        <v>79</v>
      </c>
      <c r="AK337" t="s">
        <v>79</v>
      </c>
      <c r="AL337" t="s">
        <v>80</v>
      </c>
      <c r="AM337" t="s">
        <v>79</v>
      </c>
      <c r="AP337" t="str">
        <f>"MOBILE HEAVY EQUIPMENT MECHANICS"</f>
        <v>MOBILE HEAVY EQUIPMENT MECHANICS</v>
      </c>
      <c r="AQ337" t="str">
        <f>"49-3042.00"</f>
        <v>49-3042.00</v>
      </c>
      <c r="AR337" t="str">
        <f>"Mobile Heavy Equipment Mechanics, Except Engines"</f>
        <v>Mobile Heavy Equipment Mechanics, Except Engines</v>
      </c>
      <c r="AS337" t="str">
        <f>"N/A"</f>
        <v>N/A</v>
      </c>
      <c r="AT337" t="s">
        <v>79</v>
      </c>
      <c r="AU337" t="str">
        <f>""</f>
        <v/>
      </c>
      <c r="AV337" t="str">
        <f>""</f>
        <v/>
      </c>
      <c r="AW337" t="s">
        <v>79</v>
      </c>
      <c r="AX337" t="str">
        <f>""</f>
        <v/>
      </c>
      <c r="AY337" t="s">
        <v>84</v>
      </c>
      <c r="BA337" t="s">
        <v>80</v>
      </c>
      <c r="BB337" t="s">
        <v>79</v>
      </c>
      <c r="BD337" t="s">
        <v>79</v>
      </c>
      <c r="BG337" t="s">
        <v>82</v>
      </c>
      <c r="BH337">
        <v>12</v>
      </c>
      <c r="BI337" t="s">
        <v>797</v>
      </c>
      <c r="BJ337" t="s">
        <v>798</v>
      </c>
      <c r="BK337" t="str">
        <f>"NAFTAN ROAD 304 OBYAN, SAIPAN MP 96950"</f>
        <v>NAFTAN ROAD 304 OBYAN, SAIPAN MP 96950</v>
      </c>
      <c r="BL337" t="str">
        <f>"PMB 139 PPP, PO BOX 10000"</f>
        <v>PMB 139 PPP, PO BOX 10000</v>
      </c>
      <c r="BM337" t="str">
        <f>"SAIPAN, MP"</f>
        <v>SAIPAN, MP</v>
      </c>
      <c r="BO337" t="s">
        <v>83</v>
      </c>
      <c r="BP337" s="4" t="str">
        <f t="shared" si="199"/>
        <v>96950</v>
      </c>
      <c r="BQ337" t="s">
        <v>79</v>
      </c>
      <c r="BR337" t="str">
        <f>"49-3042.00"</f>
        <v>49-3042.00</v>
      </c>
      <c r="BS337" t="s">
        <v>170</v>
      </c>
      <c r="BT337" s="3">
        <v>11</v>
      </c>
      <c r="BU337" t="s">
        <v>80</v>
      </c>
      <c r="BV337" t="s">
        <v>90</v>
      </c>
      <c r="BW337" t="s">
        <v>92</v>
      </c>
      <c r="BZ337" s="1">
        <v>45107</v>
      </c>
    </row>
    <row r="338" spans="1:78" ht="15" customHeight="1" x14ac:dyDescent="0.25">
      <c r="A338" t="s">
        <v>799</v>
      </c>
      <c r="B338" t="s">
        <v>94</v>
      </c>
      <c r="C338" s="1">
        <v>44838</v>
      </c>
      <c r="D338" s="1">
        <v>44879</v>
      </c>
      <c r="H338" t="s">
        <v>78</v>
      </c>
      <c r="I338" t="str">
        <f>"Lam"</f>
        <v>Lam</v>
      </c>
      <c r="J338" t="str">
        <f>"Maxine"</f>
        <v>Maxine</v>
      </c>
      <c r="K338" t="str">
        <f>""</f>
        <v/>
      </c>
      <c r="L338" t="str">
        <f>"HR Manager"</f>
        <v>HR Manager</v>
      </c>
      <c r="M338" t="str">
        <f>"Insatto Street, Susupe P.O Box 500137"</f>
        <v>Insatto Street, Susupe P.O Box 500137</v>
      </c>
      <c r="N338" t="str">
        <f>"Insatto Street, Susupe P.O Box 500137"</f>
        <v>Insatto Street, Susupe P.O Box 500137</v>
      </c>
      <c r="O338" t="str">
        <f>"Saipan"</f>
        <v>Saipan</v>
      </c>
      <c r="P338" t="str">
        <f t="shared" si="200"/>
        <v>MP</v>
      </c>
      <c r="Q338" s="4" t="str">
        <f t="shared" si="201"/>
        <v>96950</v>
      </c>
      <c r="R338" t="str">
        <f t="shared" si="202"/>
        <v>UNITED STATES OF AMERICA</v>
      </c>
      <c r="S338" t="str">
        <f>""</f>
        <v/>
      </c>
      <c r="T338" s="5" t="str">
        <f>"16702346445"</f>
        <v>16702346445</v>
      </c>
      <c r="U338" t="str">
        <f>"2263"</f>
        <v>2263</v>
      </c>
      <c r="V338" s="5" t="str">
        <f>""</f>
        <v/>
      </c>
      <c r="W338" t="str">
        <f>"hrd@joeten.com"</f>
        <v>hrd@joeten.com</v>
      </c>
      <c r="X338" t="str">
        <f>"Joeten Motors Company, Inc"</f>
        <v>Joeten Motors Company, Inc</v>
      </c>
      <c r="Y338" t="str">
        <f>""</f>
        <v/>
      </c>
      <c r="Z338" t="str">
        <f>"Beach Road, Oleai P.O Box 500137"</f>
        <v>Beach Road, Oleai P.O Box 500137</v>
      </c>
      <c r="AA338" t="str">
        <f>"Beach Road, Oleai P.O Box 500137"</f>
        <v>Beach Road, Oleai P.O Box 500137</v>
      </c>
      <c r="AB338" t="str">
        <f>"Saipan"</f>
        <v>Saipan</v>
      </c>
      <c r="AC338" t="str">
        <f t="shared" si="203"/>
        <v>MP</v>
      </c>
      <c r="AD338" t="str">
        <f t="shared" si="205"/>
        <v>96950</v>
      </c>
      <c r="AE338" t="str">
        <f t="shared" si="204"/>
        <v>UNITED STATES OF AMERICA</v>
      </c>
      <c r="AF338" t="str">
        <f>""</f>
        <v/>
      </c>
      <c r="AG338" s="4" t="str">
        <f>"16702346445"</f>
        <v>16702346445</v>
      </c>
      <c r="AH338" t="str">
        <f>"2263"</f>
        <v>2263</v>
      </c>
      <c r="AI338" t="str">
        <f>"4411"</f>
        <v>4411</v>
      </c>
      <c r="AJ338" t="s">
        <v>79</v>
      </c>
      <c r="AK338" t="s">
        <v>79</v>
      </c>
      <c r="AL338" t="s">
        <v>80</v>
      </c>
      <c r="AM338" t="s">
        <v>79</v>
      </c>
      <c r="AP338" t="str">
        <f>"Bookkeeper"</f>
        <v>Bookkeeper</v>
      </c>
      <c r="AQ338" t="str">
        <f>"43-3031.00"</f>
        <v>43-3031.00</v>
      </c>
      <c r="AR338" t="str">
        <f>"Bookkeeping, Accounting, and Auditing Clerks"</f>
        <v>Bookkeeping, Accounting, and Auditing Clerks</v>
      </c>
      <c r="AS338" t="str">
        <f>"General Manager"</f>
        <v>General Manager</v>
      </c>
      <c r="AT338" t="s">
        <v>79</v>
      </c>
      <c r="AU338" t="str">
        <f>""</f>
        <v/>
      </c>
      <c r="AV338" t="str">
        <f>""</f>
        <v/>
      </c>
      <c r="AW338" t="s">
        <v>79</v>
      </c>
      <c r="AX338" t="str">
        <f>""</f>
        <v/>
      </c>
      <c r="AY338" t="s">
        <v>124</v>
      </c>
      <c r="BA338" t="s">
        <v>80</v>
      </c>
      <c r="BB338" t="s">
        <v>79</v>
      </c>
      <c r="BD338" t="s">
        <v>79</v>
      </c>
      <c r="BG338" t="s">
        <v>82</v>
      </c>
      <c r="BH338">
        <v>24</v>
      </c>
      <c r="BI338" t="s">
        <v>800</v>
      </c>
      <c r="BJ338" t="s">
        <v>801</v>
      </c>
      <c r="BK338" t="str">
        <f>"Insatto Street, Susupe P.O Box 500137"</f>
        <v>Insatto Street, Susupe P.O Box 500137</v>
      </c>
      <c r="BL338" t="str">
        <f>"Insatto Street, Susupe P.O Box 500137"</f>
        <v>Insatto Street, Susupe P.O Box 500137</v>
      </c>
      <c r="BM338" t="str">
        <f>"Saipan"</f>
        <v>Saipan</v>
      </c>
      <c r="BO338" t="s">
        <v>83</v>
      </c>
      <c r="BP338" s="4" t="str">
        <f t="shared" si="199"/>
        <v>96950</v>
      </c>
      <c r="BQ338" t="s">
        <v>79</v>
      </c>
      <c r="BR338" t="str">
        <f>"43-3031.00"</f>
        <v>43-3031.00</v>
      </c>
      <c r="BS338" t="s">
        <v>142</v>
      </c>
      <c r="BT338" s="3">
        <v>11.21</v>
      </c>
      <c r="BU338" t="s">
        <v>80</v>
      </c>
      <c r="BV338" t="s">
        <v>90</v>
      </c>
      <c r="BW338" t="s">
        <v>92</v>
      </c>
      <c r="BZ338" s="1">
        <v>45107</v>
      </c>
    </row>
    <row r="339" spans="1:78" ht="15" customHeight="1" x14ac:dyDescent="0.25">
      <c r="A339" t="s">
        <v>764</v>
      </c>
      <c r="B339" t="s">
        <v>94</v>
      </c>
      <c r="C339" s="1">
        <v>44837</v>
      </c>
      <c r="D339" s="1">
        <v>44879</v>
      </c>
      <c r="H339" t="s">
        <v>78</v>
      </c>
      <c r="I339" t="str">
        <f>"Ham"</f>
        <v>Ham</v>
      </c>
      <c r="J339" t="str">
        <f>"Jun"</f>
        <v>Jun</v>
      </c>
      <c r="K339" t="str">
        <f>""</f>
        <v/>
      </c>
      <c r="L339" t="str">
        <f>"Human Resources Manager"</f>
        <v>Human Resources Manager</v>
      </c>
      <c r="M339" t="str">
        <f>"PO Box 500066"</f>
        <v>PO Box 500066</v>
      </c>
      <c r="N339" t="str">
        <f>""</f>
        <v/>
      </c>
      <c r="O339" t="str">
        <f>"Saipan"</f>
        <v>Saipan</v>
      </c>
      <c r="P339" t="str">
        <f t="shared" si="200"/>
        <v>MP</v>
      </c>
      <c r="Q339" s="4" t="str">
        <f t="shared" si="201"/>
        <v>96950</v>
      </c>
      <c r="R339" t="str">
        <f t="shared" si="202"/>
        <v>UNITED STATES OF AMERICA</v>
      </c>
      <c r="S339" t="str">
        <f>""</f>
        <v/>
      </c>
      <c r="T339" s="5" t="str">
        <f>"16702345900"</f>
        <v>16702345900</v>
      </c>
      <c r="U339" t="str">
        <f>"574"</f>
        <v>574</v>
      </c>
      <c r="V339" s="5" t="str">
        <f>""</f>
        <v/>
      </c>
      <c r="W339" t="str">
        <f>"junham@hanwha.com"</f>
        <v>junham@hanwha.com</v>
      </c>
      <c r="X339" t="str">
        <f>"World Corporation"</f>
        <v>World Corporation</v>
      </c>
      <c r="Y339" t="str">
        <f>"Saipan World Resort"</f>
        <v>Saipan World Resort</v>
      </c>
      <c r="Z339" t="str">
        <f>"PO Box 500066"</f>
        <v>PO Box 500066</v>
      </c>
      <c r="AA339" t="str">
        <f>""</f>
        <v/>
      </c>
      <c r="AB339" t="str">
        <f>"Saipan"</f>
        <v>Saipan</v>
      </c>
      <c r="AC339" t="str">
        <f t="shared" si="203"/>
        <v>MP</v>
      </c>
      <c r="AD339" t="str">
        <f t="shared" si="205"/>
        <v>96950</v>
      </c>
      <c r="AE339" t="str">
        <f t="shared" si="204"/>
        <v>UNITED STATES OF AMERICA</v>
      </c>
      <c r="AF339" t="str">
        <f>""</f>
        <v/>
      </c>
      <c r="AG339" s="4" t="str">
        <f>"16702345900"</f>
        <v>16702345900</v>
      </c>
      <c r="AH339" t="str">
        <f>"575"</f>
        <v>575</v>
      </c>
      <c r="AI339" t="str">
        <f>"721110"</f>
        <v>721110</v>
      </c>
      <c r="AJ339" t="s">
        <v>79</v>
      </c>
      <c r="AK339" t="s">
        <v>79</v>
      </c>
      <c r="AL339" t="s">
        <v>80</v>
      </c>
      <c r="AM339" t="s">
        <v>79</v>
      </c>
      <c r="AP339" t="str">
        <f>"Chef de Cuisine"</f>
        <v>Chef de Cuisine</v>
      </c>
      <c r="AQ339" t="str">
        <f>"35-1011.00"</f>
        <v>35-1011.00</v>
      </c>
      <c r="AR339" t="str">
        <f>"Chefs and Head Cooks"</f>
        <v>Chefs and Head Cooks</v>
      </c>
      <c r="AS339" t="str">
        <f>"Executive Chef"</f>
        <v>Executive Chef</v>
      </c>
      <c r="AT339" t="s">
        <v>82</v>
      </c>
      <c r="AU339" t="str">
        <f>"5"</f>
        <v>5</v>
      </c>
      <c r="AV339" t="str">
        <f>"Subordinate"</f>
        <v>Subordinate</v>
      </c>
      <c r="AW339" t="s">
        <v>79</v>
      </c>
      <c r="AX339" t="str">
        <f>""</f>
        <v/>
      </c>
      <c r="AY339" t="s">
        <v>84</v>
      </c>
      <c r="BA339" t="s">
        <v>119</v>
      </c>
      <c r="BB339" t="s">
        <v>79</v>
      </c>
      <c r="BD339" t="s">
        <v>79</v>
      </c>
      <c r="BG339" t="s">
        <v>82</v>
      </c>
      <c r="BH339">
        <v>24</v>
      </c>
      <c r="BI339" t="s">
        <v>765</v>
      </c>
      <c r="BJ339" t="s">
        <v>702</v>
      </c>
      <c r="BK339" t="str">
        <f>"Beach Road Susupe"</f>
        <v>Beach Road Susupe</v>
      </c>
      <c r="BL339" t="str">
        <f>""</f>
        <v/>
      </c>
      <c r="BM339" t="str">
        <f>"Saipan"</f>
        <v>Saipan</v>
      </c>
      <c r="BO339" t="s">
        <v>83</v>
      </c>
      <c r="BP339" s="4" t="str">
        <f t="shared" si="199"/>
        <v>96950</v>
      </c>
      <c r="BQ339" t="s">
        <v>79</v>
      </c>
      <c r="BR339" t="str">
        <f>"35-1011.00"</f>
        <v>35-1011.00</v>
      </c>
      <c r="BS339" t="s">
        <v>740</v>
      </c>
      <c r="BT339" s="3">
        <v>13.71</v>
      </c>
      <c r="BU339" t="s">
        <v>80</v>
      </c>
      <c r="BV339" t="s">
        <v>90</v>
      </c>
      <c r="BW339" t="s">
        <v>92</v>
      </c>
      <c r="BZ339" s="1">
        <v>45107</v>
      </c>
    </row>
    <row r="340" spans="1:78" ht="15" customHeight="1" x14ac:dyDescent="0.25">
      <c r="A340" t="s">
        <v>766</v>
      </c>
      <c r="B340" t="s">
        <v>94</v>
      </c>
      <c r="C340" s="1">
        <v>44837</v>
      </c>
      <c r="D340" s="1">
        <v>44879</v>
      </c>
      <c r="H340" t="s">
        <v>78</v>
      </c>
      <c r="I340" t="str">
        <f>"Ham"</f>
        <v>Ham</v>
      </c>
      <c r="J340" t="str">
        <f>"Jun"</f>
        <v>Jun</v>
      </c>
      <c r="K340" t="str">
        <f>""</f>
        <v/>
      </c>
      <c r="L340" t="str">
        <f>"Human Resources Manager"</f>
        <v>Human Resources Manager</v>
      </c>
      <c r="M340" t="str">
        <f>"PO Box 500066"</f>
        <v>PO Box 500066</v>
      </c>
      <c r="N340" t="str">
        <f>""</f>
        <v/>
      </c>
      <c r="O340" t="str">
        <f>"Saipan"</f>
        <v>Saipan</v>
      </c>
      <c r="P340" t="str">
        <f t="shared" si="200"/>
        <v>MP</v>
      </c>
      <c r="Q340" s="4" t="str">
        <f t="shared" si="201"/>
        <v>96950</v>
      </c>
      <c r="R340" t="str">
        <f t="shared" si="202"/>
        <v>UNITED STATES OF AMERICA</v>
      </c>
      <c r="S340" t="str">
        <f>""</f>
        <v/>
      </c>
      <c r="T340" s="5" t="str">
        <f>"16702345900"</f>
        <v>16702345900</v>
      </c>
      <c r="U340" t="str">
        <f>"574"</f>
        <v>574</v>
      </c>
      <c r="V340" s="5" t="str">
        <f>""</f>
        <v/>
      </c>
      <c r="W340" t="str">
        <f>"junham@hanwha.com"</f>
        <v>junham@hanwha.com</v>
      </c>
      <c r="X340" t="str">
        <f>"World Corporation"</f>
        <v>World Corporation</v>
      </c>
      <c r="Y340" t="str">
        <f>"Saipan World Resort"</f>
        <v>Saipan World Resort</v>
      </c>
      <c r="Z340" t="str">
        <f>"PO Box 500066"</f>
        <v>PO Box 500066</v>
      </c>
      <c r="AA340" t="str">
        <f>""</f>
        <v/>
      </c>
      <c r="AB340" t="str">
        <f>"Saipan"</f>
        <v>Saipan</v>
      </c>
      <c r="AC340" t="str">
        <f t="shared" si="203"/>
        <v>MP</v>
      </c>
      <c r="AD340" t="str">
        <f t="shared" si="205"/>
        <v>96950</v>
      </c>
      <c r="AE340" t="str">
        <f t="shared" si="204"/>
        <v>UNITED STATES OF AMERICA</v>
      </c>
      <c r="AF340" t="str">
        <f>""</f>
        <v/>
      </c>
      <c r="AG340" s="4" t="str">
        <f>"16702345900"</f>
        <v>16702345900</v>
      </c>
      <c r="AH340" t="str">
        <f>"575"</f>
        <v>575</v>
      </c>
      <c r="AI340" t="str">
        <f>"721110"</f>
        <v>721110</v>
      </c>
      <c r="AJ340" t="s">
        <v>79</v>
      </c>
      <c r="AK340" t="s">
        <v>79</v>
      </c>
      <c r="AL340" t="s">
        <v>80</v>
      </c>
      <c r="AM340" t="s">
        <v>79</v>
      </c>
      <c r="AP340" t="str">
        <f>"Accountant"</f>
        <v>Accountant</v>
      </c>
      <c r="AQ340" t="str">
        <f>"43-3031.00"</f>
        <v>43-3031.00</v>
      </c>
      <c r="AR340" t="str">
        <f>"Bookkeeping, Accounting, and Auditing Clerks"</f>
        <v>Bookkeeping, Accounting, and Auditing Clerks</v>
      </c>
      <c r="AS340" t="str">
        <f>"Accountant Supervisor"</f>
        <v>Accountant Supervisor</v>
      </c>
      <c r="AT340" t="s">
        <v>79</v>
      </c>
      <c r="AU340" t="str">
        <f>""</f>
        <v/>
      </c>
      <c r="AV340" t="str">
        <f>""</f>
        <v/>
      </c>
      <c r="AW340" t="s">
        <v>79</v>
      </c>
      <c r="AX340" t="str">
        <f>""</f>
        <v/>
      </c>
      <c r="AY340" t="s">
        <v>84</v>
      </c>
      <c r="BA340" t="s">
        <v>119</v>
      </c>
      <c r="BB340" t="s">
        <v>79</v>
      </c>
      <c r="BD340" t="s">
        <v>79</v>
      </c>
      <c r="BG340" t="s">
        <v>82</v>
      </c>
      <c r="BH340">
        <v>24</v>
      </c>
      <c r="BI340" t="s">
        <v>742</v>
      </c>
      <c r="BJ340" t="s">
        <v>119</v>
      </c>
      <c r="BK340" t="str">
        <f>"Beach Road Susupe"</f>
        <v>Beach Road Susupe</v>
      </c>
      <c r="BL340" t="str">
        <f>""</f>
        <v/>
      </c>
      <c r="BM340" t="str">
        <f>"Saipan "</f>
        <v xml:space="preserve">Saipan </v>
      </c>
      <c r="BO340" t="s">
        <v>83</v>
      </c>
      <c r="BP340" s="4" t="str">
        <f t="shared" si="199"/>
        <v>96950</v>
      </c>
      <c r="BQ340" t="s">
        <v>79</v>
      </c>
      <c r="BR340" t="str">
        <f>"43-3031.00"</f>
        <v>43-3031.00</v>
      </c>
      <c r="BS340" t="s">
        <v>142</v>
      </c>
      <c r="BT340" s="3">
        <v>11.21</v>
      </c>
      <c r="BU340" t="s">
        <v>80</v>
      </c>
      <c r="BV340" t="s">
        <v>90</v>
      </c>
      <c r="BW340" t="s">
        <v>92</v>
      </c>
      <c r="BZ340" s="1">
        <v>45107</v>
      </c>
    </row>
    <row r="341" spans="1:78" ht="15" customHeight="1" x14ac:dyDescent="0.25">
      <c r="A341" t="s">
        <v>767</v>
      </c>
      <c r="B341" t="s">
        <v>94</v>
      </c>
      <c r="C341" s="1">
        <v>44837</v>
      </c>
      <c r="D341" s="1">
        <v>44879</v>
      </c>
      <c r="H341" t="s">
        <v>78</v>
      </c>
      <c r="I341" t="str">
        <f>"SUPETRAN"</f>
        <v>SUPETRAN</v>
      </c>
      <c r="J341" t="str">
        <f>"APHEIMI"</f>
        <v>APHEIMI</v>
      </c>
      <c r="K341" t="str">
        <f>"S"</f>
        <v>S</v>
      </c>
      <c r="L341" t="str">
        <f>"President"</f>
        <v>President</v>
      </c>
      <c r="M341" t="str">
        <f>"PO Box 503540"</f>
        <v>PO Box 503540</v>
      </c>
      <c r="N341" t="str">
        <f>""</f>
        <v/>
      </c>
      <c r="O341" t="str">
        <f>"Saipan"</f>
        <v>Saipan</v>
      </c>
      <c r="P341" t="str">
        <f t="shared" si="200"/>
        <v>MP</v>
      </c>
      <c r="Q341" s="4" t="str">
        <f t="shared" si="201"/>
        <v>96950</v>
      </c>
      <c r="R341" t="str">
        <f t="shared" si="202"/>
        <v>UNITED STATES OF AMERICA</v>
      </c>
      <c r="S341" t="str">
        <f>""</f>
        <v/>
      </c>
      <c r="T341" s="5" t="str">
        <f>"16702339032"</f>
        <v>16702339032</v>
      </c>
      <c r="U341" t="str">
        <f>""</f>
        <v/>
      </c>
      <c r="V341" s="5" t="str">
        <f>""</f>
        <v/>
      </c>
      <c r="W341" t="str">
        <f>"clcorpsupetran@gmail.com"</f>
        <v>clcorpsupetran@gmail.com</v>
      </c>
      <c r="X341" t="str">
        <f>"CL CORPORATION"</f>
        <v>CL CORPORATION</v>
      </c>
      <c r="Y341" t="str">
        <f>""</f>
        <v/>
      </c>
      <c r="Z341" t="str">
        <f>"PO BOX 503540"</f>
        <v>PO BOX 503540</v>
      </c>
      <c r="AA341" t="str">
        <f>""</f>
        <v/>
      </c>
      <c r="AB341" t="str">
        <f>"SAIPAN"</f>
        <v>SAIPAN</v>
      </c>
      <c r="AC341" t="str">
        <f t="shared" si="203"/>
        <v>MP</v>
      </c>
      <c r="AD341" t="str">
        <f t="shared" si="205"/>
        <v>96950</v>
      </c>
      <c r="AE341" t="str">
        <f t="shared" si="204"/>
        <v>UNITED STATES OF AMERICA</v>
      </c>
      <c r="AF341" t="str">
        <f>""</f>
        <v/>
      </c>
      <c r="AG341" s="4" t="str">
        <f>"16702339032"</f>
        <v>16702339032</v>
      </c>
      <c r="AH341" t="str">
        <f>""</f>
        <v/>
      </c>
      <c r="AI341" t="str">
        <f>"561320"</f>
        <v>561320</v>
      </c>
      <c r="AJ341" t="s">
        <v>79</v>
      </c>
      <c r="AK341" t="s">
        <v>79</v>
      </c>
      <c r="AL341" t="s">
        <v>80</v>
      </c>
      <c r="AM341" t="s">
        <v>79</v>
      </c>
      <c r="AP341" t="str">
        <f>"Accounting Officer"</f>
        <v>Accounting Officer</v>
      </c>
      <c r="AQ341" t="str">
        <f>"43-3031.00"</f>
        <v>43-3031.00</v>
      </c>
      <c r="AR341" t="str">
        <f>"Bookkeeping, Accounting, and Auditing Clerks"</f>
        <v>Bookkeeping, Accounting, and Auditing Clerks</v>
      </c>
      <c r="AS341" t="str">
        <f>"General Manager"</f>
        <v>General Manager</v>
      </c>
      <c r="AT341" t="s">
        <v>79</v>
      </c>
      <c r="AU341" t="str">
        <f>""</f>
        <v/>
      </c>
      <c r="AV341" t="str">
        <f>""</f>
        <v/>
      </c>
      <c r="AW341" t="s">
        <v>79</v>
      </c>
      <c r="AX341" t="str">
        <f>""</f>
        <v/>
      </c>
      <c r="AY341" t="s">
        <v>124</v>
      </c>
      <c r="BA341" t="s">
        <v>768</v>
      </c>
      <c r="BB341" t="s">
        <v>79</v>
      </c>
      <c r="BD341" t="s">
        <v>79</v>
      </c>
      <c r="BG341" t="s">
        <v>82</v>
      </c>
      <c r="BH341">
        <v>12</v>
      </c>
      <c r="BI341" t="s">
        <v>769</v>
      </c>
      <c r="BJ341" t="s">
        <v>770</v>
      </c>
      <c r="BK341" t="str">
        <f>"GREEN BLDG JUDGEWAY ST CHINATOWN GARAPAN"</f>
        <v>GREEN BLDG JUDGEWAY ST CHINATOWN GARAPAN</v>
      </c>
      <c r="BL341" t="str">
        <f>""</f>
        <v/>
      </c>
      <c r="BM341" t="str">
        <f>"SAIPAN"</f>
        <v>SAIPAN</v>
      </c>
      <c r="BO341" t="s">
        <v>83</v>
      </c>
      <c r="BP341" s="4" t="str">
        <f t="shared" si="199"/>
        <v>96950</v>
      </c>
      <c r="BQ341" t="s">
        <v>79</v>
      </c>
      <c r="BR341" t="str">
        <f>"43-3031.00"</f>
        <v>43-3031.00</v>
      </c>
      <c r="BS341" t="s">
        <v>142</v>
      </c>
      <c r="BT341" s="3">
        <v>11.21</v>
      </c>
      <c r="BU341" t="s">
        <v>80</v>
      </c>
      <c r="BV341" t="s">
        <v>90</v>
      </c>
      <c r="BW341" t="s">
        <v>92</v>
      </c>
      <c r="BZ341" s="1">
        <v>45107</v>
      </c>
    </row>
    <row r="342" spans="1:78" ht="15" customHeight="1" x14ac:dyDescent="0.25">
      <c r="A342" t="s">
        <v>752</v>
      </c>
      <c r="B342" t="s">
        <v>94</v>
      </c>
      <c r="C342" s="1">
        <v>44836</v>
      </c>
      <c r="D342" s="1">
        <v>44879</v>
      </c>
      <c r="H342" t="s">
        <v>78</v>
      </c>
      <c r="I342" t="str">
        <f>"CHONG"</f>
        <v>CHONG</v>
      </c>
      <c r="J342" t="str">
        <f>"THOMAS"</f>
        <v>THOMAS</v>
      </c>
      <c r="K342" t="str">
        <f>""</f>
        <v/>
      </c>
      <c r="L342" t="str">
        <f>"MANAGER"</f>
        <v>MANAGER</v>
      </c>
      <c r="M342" t="str">
        <f>"PMB 978 BOX 10001"</f>
        <v>PMB 978 BOX 10001</v>
      </c>
      <c r="N342" t="str">
        <f>""</f>
        <v/>
      </c>
      <c r="O342" t="str">
        <f>"Saipan"</f>
        <v>Saipan</v>
      </c>
      <c r="P342" t="str">
        <f t="shared" si="200"/>
        <v>MP</v>
      </c>
      <c r="Q342" s="4" t="str">
        <f t="shared" si="201"/>
        <v>96950</v>
      </c>
      <c r="R342" t="str">
        <f t="shared" si="202"/>
        <v>UNITED STATES OF AMERICA</v>
      </c>
      <c r="S342" t="str">
        <f>""</f>
        <v/>
      </c>
      <c r="T342" s="5" t="str">
        <f>"16702339468"</f>
        <v>16702339468</v>
      </c>
      <c r="U342" t="str">
        <f>""</f>
        <v/>
      </c>
      <c r="V342" s="5" t="str">
        <f>""</f>
        <v/>
      </c>
      <c r="W342" t="str">
        <f>"kasumi1819@gmail.com"</f>
        <v>kasumi1819@gmail.com</v>
      </c>
      <c r="X342" t="str">
        <f>"AMERICAN K&amp;W CORPORATION"</f>
        <v>AMERICAN K&amp;W CORPORATION</v>
      </c>
      <c r="Y342" t="str">
        <f>"HAPPINESS RESTAURANT"</f>
        <v>HAPPINESS RESTAURANT</v>
      </c>
      <c r="Z342" t="str">
        <f>"1ST FLOOR COCO BUILDING, CPL. DERRENCE JACK RD GARAPAN "</f>
        <v xml:space="preserve">1ST FLOOR COCO BUILDING, CPL. DERRENCE JACK RD GARAPAN </v>
      </c>
      <c r="AA342" t="str">
        <f>""</f>
        <v/>
      </c>
      <c r="AB342" t="str">
        <f>"SAIPAN"</f>
        <v>SAIPAN</v>
      </c>
      <c r="AC342" t="str">
        <f t="shared" si="203"/>
        <v>MP</v>
      </c>
      <c r="AD342" t="str">
        <f t="shared" si="205"/>
        <v>96950</v>
      </c>
      <c r="AE342" t="str">
        <f t="shared" si="204"/>
        <v>UNITED STATES OF AMERICA</v>
      </c>
      <c r="AF342" t="str">
        <f>""</f>
        <v/>
      </c>
      <c r="AG342" s="4" t="str">
        <f>"16702339468"</f>
        <v>16702339468</v>
      </c>
      <c r="AH342" t="str">
        <f>""</f>
        <v/>
      </c>
      <c r="AI342" t="str">
        <f>"72251"</f>
        <v>72251</v>
      </c>
      <c r="AJ342" t="s">
        <v>79</v>
      </c>
      <c r="AK342" t="s">
        <v>79</v>
      </c>
      <c r="AL342" t="s">
        <v>80</v>
      </c>
      <c r="AM342" t="s">
        <v>79</v>
      </c>
      <c r="AP342" t="str">
        <f>"COOK"</f>
        <v>COOK</v>
      </c>
      <c r="AQ342" t="str">
        <f>"35-2014.00"</f>
        <v>35-2014.00</v>
      </c>
      <c r="AR342" t="str">
        <f>"Cooks, Restaurant"</f>
        <v>Cooks, Restaurant</v>
      </c>
      <c r="AS342" t="str">
        <f>"MANAGER"</f>
        <v>MANAGER</v>
      </c>
      <c r="AT342" t="s">
        <v>79</v>
      </c>
      <c r="AU342" t="str">
        <f>""</f>
        <v/>
      </c>
      <c r="AV342" t="str">
        <f>""</f>
        <v/>
      </c>
      <c r="AW342" t="s">
        <v>79</v>
      </c>
      <c r="AX342" t="str">
        <f>""</f>
        <v/>
      </c>
      <c r="AY342" t="s">
        <v>81</v>
      </c>
      <c r="BA342" t="s">
        <v>80</v>
      </c>
      <c r="BB342" t="s">
        <v>79</v>
      </c>
      <c r="BD342" t="s">
        <v>79</v>
      </c>
      <c r="BG342" t="s">
        <v>82</v>
      </c>
      <c r="BH342">
        <v>24</v>
      </c>
      <c r="BI342" t="s">
        <v>285</v>
      </c>
      <c r="BJ342" s="2" t="s">
        <v>753</v>
      </c>
      <c r="BK342" t="str">
        <f>"1ST FLOOR COCO BUILDING, CPL. DERRENCE JACK RD GARAPAN "</f>
        <v xml:space="preserve">1ST FLOOR COCO BUILDING, CPL. DERRENCE JACK RD GARAPAN </v>
      </c>
      <c r="BL342" t="str">
        <f>""</f>
        <v/>
      </c>
      <c r="BM342" t="str">
        <f>"SAIPAN"</f>
        <v>SAIPAN</v>
      </c>
      <c r="BO342" t="s">
        <v>83</v>
      </c>
      <c r="BP342" s="4" t="str">
        <f t="shared" si="199"/>
        <v>96950</v>
      </c>
      <c r="BQ342" t="s">
        <v>79</v>
      </c>
      <c r="BR342" t="str">
        <f>"35-2014.00"</f>
        <v>35-2014.00</v>
      </c>
      <c r="BS342" t="s">
        <v>117</v>
      </c>
      <c r="BT342" s="3">
        <v>8.5500000000000007</v>
      </c>
      <c r="BU342" t="s">
        <v>80</v>
      </c>
      <c r="BV342" t="s">
        <v>90</v>
      </c>
      <c r="BW342" t="s">
        <v>92</v>
      </c>
      <c r="BZ342" s="1">
        <v>45107</v>
      </c>
    </row>
    <row r="343" spans="1:78" ht="15" customHeight="1" x14ac:dyDescent="0.25">
      <c r="A343" t="s">
        <v>754</v>
      </c>
      <c r="B343" t="s">
        <v>94</v>
      </c>
      <c r="C343" s="1">
        <v>44836</v>
      </c>
      <c r="D343" s="1">
        <v>44879</v>
      </c>
      <c r="H343" t="s">
        <v>78</v>
      </c>
      <c r="I343" t="str">
        <f>"DAYAO"</f>
        <v>DAYAO</v>
      </c>
      <c r="J343" t="str">
        <f>"MICHELLE"</f>
        <v>MICHELLE</v>
      </c>
      <c r="K343" t="str">
        <f>"GALANZA"</f>
        <v>GALANZA</v>
      </c>
      <c r="L343" t="str">
        <f>"ACCOUNTING CLERK"</f>
        <v>ACCOUNTING CLERK</v>
      </c>
      <c r="M343" t="str">
        <f>"BLDG.#3140, I-LIYANG STREET, BEACH ROAD"</f>
        <v>BLDG.#3140, I-LIYANG STREET, BEACH ROAD</v>
      </c>
      <c r="N343" t="str">
        <f>"SOUTH GARAPAN "</f>
        <v xml:space="preserve">SOUTH GARAPAN </v>
      </c>
      <c r="O343" t="str">
        <f>"SAIPAN"</f>
        <v>SAIPAN</v>
      </c>
      <c r="P343" t="str">
        <f t="shared" si="200"/>
        <v>MP</v>
      </c>
      <c r="Q343" s="4" t="str">
        <f t="shared" si="201"/>
        <v>96950</v>
      </c>
      <c r="R343" t="str">
        <f t="shared" si="202"/>
        <v>UNITED STATES OF AMERICA</v>
      </c>
      <c r="S343" t="str">
        <f>"N/A"</f>
        <v>N/A</v>
      </c>
      <c r="T343" s="5" t="str">
        <f>"16702352020"</f>
        <v>16702352020</v>
      </c>
      <c r="U343" t="str">
        <f>""</f>
        <v/>
      </c>
      <c r="V343" s="5" t="str">
        <f>""</f>
        <v/>
      </c>
      <c r="W343" t="str">
        <f>"starwater@pticom.com"</f>
        <v>starwater@pticom.com</v>
      </c>
      <c r="X343" t="str">
        <f>"S.T.a.R. MARIANAS, INC."</f>
        <v>S.T.a.R. MARIANAS, INC.</v>
      </c>
      <c r="Y343" t="str">
        <f>"MANUFACTURE/WHOLESALEDRINKINGWATER,RETAILMERCHANDISE,IMPORT/EXPORT"</f>
        <v>MANUFACTURE/WHOLESALEDRINKINGWATER,RETAILMERCHANDISE,IMPORT/EXPORT</v>
      </c>
      <c r="Z343" t="str">
        <f>"BLDG.#3140, I-LIYANG STREET, BEACH ROAD"</f>
        <v>BLDG.#3140, I-LIYANG STREET, BEACH ROAD</v>
      </c>
      <c r="AA343" t="str">
        <f>"SOUTH GARAPAN"</f>
        <v>SOUTH GARAPAN</v>
      </c>
      <c r="AB343" t="str">
        <f>"SAIPAN"</f>
        <v>SAIPAN</v>
      </c>
      <c r="AC343" t="str">
        <f t="shared" si="203"/>
        <v>MP</v>
      </c>
      <c r="AD343" t="str">
        <f t="shared" si="205"/>
        <v>96950</v>
      </c>
      <c r="AE343" t="str">
        <f t="shared" si="204"/>
        <v>UNITED STATES OF AMERICA</v>
      </c>
      <c r="AF343" t="str">
        <f>"N/A"</f>
        <v>N/A</v>
      </c>
      <c r="AG343" s="4" t="str">
        <f>"16702352020"</f>
        <v>16702352020</v>
      </c>
      <c r="AH343" t="str">
        <f>""</f>
        <v/>
      </c>
      <c r="AI343" t="str">
        <f>"312112"</f>
        <v>312112</v>
      </c>
      <c r="AJ343" t="s">
        <v>79</v>
      </c>
      <c r="AK343" t="s">
        <v>79</v>
      </c>
      <c r="AL343" t="s">
        <v>80</v>
      </c>
      <c r="AM343" t="s">
        <v>79</v>
      </c>
      <c r="AP343" t="str">
        <f>"ACCOUNTING CLERK"</f>
        <v>ACCOUNTING CLERK</v>
      </c>
      <c r="AQ343" t="str">
        <f>"43-3031.00"</f>
        <v>43-3031.00</v>
      </c>
      <c r="AR343" t="str">
        <f>"Bookkeeping, Accounting, and Auditing Clerks"</f>
        <v>Bookkeeping, Accounting, and Auditing Clerks</v>
      </c>
      <c r="AS343" t="str">
        <f>""</f>
        <v/>
      </c>
      <c r="AT343" t="s">
        <v>79</v>
      </c>
      <c r="AU343" t="str">
        <f>""</f>
        <v/>
      </c>
      <c r="AV343" t="str">
        <f>""</f>
        <v/>
      </c>
      <c r="AW343" t="s">
        <v>79</v>
      </c>
      <c r="AX343" t="str">
        <f>""</f>
        <v/>
      </c>
      <c r="AY343" t="s">
        <v>124</v>
      </c>
      <c r="BA343" t="s">
        <v>755</v>
      </c>
      <c r="BB343" t="s">
        <v>79</v>
      </c>
      <c r="BD343" t="s">
        <v>79</v>
      </c>
      <c r="BG343" t="s">
        <v>82</v>
      </c>
      <c r="BH343">
        <v>24</v>
      </c>
      <c r="BI343" t="s">
        <v>756</v>
      </c>
      <c r="BJ343" t="s">
        <v>757</v>
      </c>
      <c r="BK343" t="str">
        <f>"BLDG.#3140, I-LIYANG STREET, BEACH ROAD"</f>
        <v>BLDG.#3140, I-LIYANG STREET, BEACH ROAD</v>
      </c>
      <c r="BL343" t="str">
        <f>"SOUTH GARAPAN"</f>
        <v>SOUTH GARAPAN</v>
      </c>
      <c r="BM343" t="str">
        <f>"SAIPAN"</f>
        <v>SAIPAN</v>
      </c>
      <c r="BO343" t="s">
        <v>83</v>
      </c>
      <c r="BP343" s="4" t="str">
        <f t="shared" si="199"/>
        <v>96950</v>
      </c>
      <c r="BQ343" t="s">
        <v>79</v>
      </c>
      <c r="BR343" t="str">
        <f>"43-3031.00"</f>
        <v>43-3031.00</v>
      </c>
      <c r="BS343" t="s">
        <v>142</v>
      </c>
      <c r="BT343" s="3">
        <v>11.21</v>
      </c>
      <c r="BU343" t="s">
        <v>80</v>
      </c>
      <c r="BV343" t="s">
        <v>90</v>
      </c>
      <c r="BW343" t="s">
        <v>92</v>
      </c>
      <c r="BZ343" s="1">
        <v>45107</v>
      </c>
    </row>
    <row r="344" spans="1:78" ht="15" customHeight="1" x14ac:dyDescent="0.25">
      <c r="A344" t="s">
        <v>758</v>
      </c>
      <c r="B344" t="s">
        <v>94</v>
      </c>
      <c r="C344" s="1">
        <v>44836</v>
      </c>
      <c r="D344" s="1">
        <v>44879</v>
      </c>
      <c r="H344" t="s">
        <v>78</v>
      </c>
      <c r="I344" t="str">
        <f>"CHONG"</f>
        <v>CHONG</v>
      </c>
      <c r="J344" t="str">
        <f>"THOMAS"</f>
        <v>THOMAS</v>
      </c>
      <c r="K344" t="str">
        <f>""</f>
        <v/>
      </c>
      <c r="L344" t="str">
        <f>"MANAGER"</f>
        <v>MANAGER</v>
      </c>
      <c r="M344" t="str">
        <f>"PO Box 502540"</f>
        <v>PO Box 502540</v>
      </c>
      <c r="N344" t="str">
        <f>""</f>
        <v/>
      </c>
      <c r="O344" t="str">
        <f>"Saipan"</f>
        <v>Saipan</v>
      </c>
      <c r="P344" t="str">
        <f t="shared" si="200"/>
        <v>MP</v>
      </c>
      <c r="Q344" s="4" t="str">
        <f t="shared" si="201"/>
        <v>96950</v>
      </c>
      <c r="R344" t="str">
        <f t="shared" si="202"/>
        <v>UNITED STATES OF AMERICA</v>
      </c>
      <c r="S344" t="str">
        <f>""</f>
        <v/>
      </c>
      <c r="T344" s="5" t="str">
        <f>"16702339468"</f>
        <v>16702339468</v>
      </c>
      <c r="U344" t="str">
        <f>""</f>
        <v/>
      </c>
      <c r="V344" s="5" t="str">
        <f>""</f>
        <v/>
      </c>
      <c r="W344" t="str">
        <f>"kasumi1819@gmail.com"</f>
        <v>kasumi1819@gmail.com</v>
      </c>
      <c r="X344" t="str">
        <f>"AMERICAN K&amp;W CORPORATION"</f>
        <v>AMERICAN K&amp;W CORPORATION</v>
      </c>
      <c r="Y344" t="str">
        <f>"HAPPINESS RESTAURANT"</f>
        <v>HAPPINESS RESTAURANT</v>
      </c>
      <c r="Z344" t="str">
        <f>"1ST FLOOR COCO BUILDING, CPL. DERRENCE JACK RD GARAPAN"</f>
        <v>1ST FLOOR COCO BUILDING, CPL. DERRENCE JACK RD GARAPAN</v>
      </c>
      <c r="AA344" t="str">
        <f>""</f>
        <v/>
      </c>
      <c r="AB344" t="str">
        <f>"SAIPAN"</f>
        <v>SAIPAN</v>
      </c>
      <c r="AC344" t="str">
        <f t="shared" si="203"/>
        <v>MP</v>
      </c>
      <c r="AD344" t="str">
        <f t="shared" si="205"/>
        <v>96950</v>
      </c>
      <c r="AE344" t="str">
        <f t="shared" si="204"/>
        <v>UNITED STATES OF AMERICA</v>
      </c>
      <c r="AF344" t="str">
        <f>""</f>
        <v/>
      </c>
      <c r="AG344" s="4" t="str">
        <f>"16702339468"</f>
        <v>16702339468</v>
      </c>
      <c r="AH344" t="str">
        <f>""</f>
        <v/>
      </c>
      <c r="AI344" t="str">
        <f>"72251"</f>
        <v>72251</v>
      </c>
      <c r="AJ344" t="s">
        <v>79</v>
      </c>
      <c r="AK344" t="s">
        <v>79</v>
      </c>
      <c r="AL344" t="s">
        <v>80</v>
      </c>
      <c r="AM344" t="s">
        <v>79</v>
      </c>
      <c r="AP344" t="str">
        <f>"WAITER/WAITRESS"</f>
        <v>WAITER/WAITRESS</v>
      </c>
      <c r="AQ344" t="str">
        <f>"35-3031.00"</f>
        <v>35-3031.00</v>
      </c>
      <c r="AR344" t="str">
        <f>"Waiters and Waitresses"</f>
        <v>Waiters and Waitresses</v>
      </c>
      <c r="AS344" t="str">
        <f>"MANAGER"</f>
        <v>MANAGER</v>
      </c>
      <c r="AT344" t="s">
        <v>79</v>
      </c>
      <c r="AU344" t="str">
        <f>""</f>
        <v/>
      </c>
      <c r="AV344" t="str">
        <f>""</f>
        <v/>
      </c>
      <c r="AW344" t="s">
        <v>79</v>
      </c>
      <c r="AX344" t="str">
        <f>""</f>
        <v/>
      </c>
      <c r="AY344" t="s">
        <v>81</v>
      </c>
      <c r="BA344" t="s">
        <v>80</v>
      </c>
      <c r="BB344" t="s">
        <v>79</v>
      </c>
      <c r="BD344" t="s">
        <v>79</v>
      </c>
      <c r="BG344" t="s">
        <v>82</v>
      </c>
      <c r="BH344">
        <v>12</v>
      </c>
      <c r="BI344" t="s">
        <v>759</v>
      </c>
      <c r="BJ344" s="2" t="s">
        <v>760</v>
      </c>
      <c r="BK344" t="str">
        <f>"1ST FLOOR COCO BUILDING, CPL. DERRENCE JACK RD GARAPAN "</f>
        <v xml:space="preserve">1ST FLOOR COCO BUILDING, CPL. DERRENCE JACK RD GARAPAN </v>
      </c>
      <c r="BL344" t="str">
        <f>""</f>
        <v/>
      </c>
      <c r="BM344" t="str">
        <f>"SAIPAN"</f>
        <v>SAIPAN</v>
      </c>
      <c r="BO344" t="s">
        <v>83</v>
      </c>
      <c r="BP344" s="4" t="str">
        <f t="shared" si="199"/>
        <v>96950</v>
      </c>
      <c r="BQ344" t="s">
        <v>79</v>
      </c>
      <c r="BR344" t="str">
        <f>"35-3031.00"</f>
        <v>35-3031.00</v>
      </c>
      <c r="BS344" t="s">
        <v>761</v>
      </c>
      <c r="BT344" s="3">
        <v>8.17</v>
      </c>
      <c r="BU344" t="s">
        <v>80</v>
      </c>
      <c r="BV344" t="s">
        <v>90</v>
      </c>
      <c r="BW344" t="s">
        <v>92</v>
      </c>
      <c r="BZ344" s="1">
        <v>45107</v>
      </c>
    </row>
    <row r="345" spans="1:78" ht="15" customHeight="1" x14ac:dyDescent="0.25">
      <c r="A345" t="s">
        <v>762</v>
      </c>
      <c r="B345" t="s">
        <v>94</v>
      </c>
      <c r="C345" s="1">
        <v>44836</v>
      </c>
      <c r="D345" s="1">
        <v>44879</v>
      </c>
      <c r="H345" t="s">
        <v>78</v>
      </c>
      <c r="I345" t="str">
        <f>"CHUNG"</f>
        <v>CHUNG</v>
      </c>
      <c r="J345" t="str">
        <f>"SUK HEE"</f>
        <v>SUK HEE</v>
      </c>
      <c r="K345" t="str">
        <f>""</f>
        <v/>
      </c>
      <c r="L345" t="str">
        <f>"PRESIDENT"</f>
        <v>PRESIDENT</v>
      </c>
      <c r="M345" t="str">
        <f>"SINAPALO I VILLAGE"</f>
        <v>SINAPALO I VILLAGE</v>
      </c>
      <c r="N345" t="str">
        <f>"PO BOX 999"</f>
        <v>PO BOX 999</v>
      </c>
      <c r="O345" t="str">
        <f>"ROTA"</f>
        <v>ROTA</v>
      </c>
      <c r="P345" t="str">
        <f t="shared" si="200"/>
        <v>MP</v>
      </c>
      <c r="Q345" s="4" t="str">
        <f>"96951"</f>
        <v>96951</v>
      </c>
      <c r="R345" t="str">
        <f t="shared" si="202"/>
        <v>UNITED STATES OF AMERICA</v>
      </c>
      <c r="S345" t="str">
        <f>""</f>
        <v/>
      </c>
      <c r="T345" s="5" t="str">
        <f>"16705323131"</f>
        <v>16705323131</v>
      </c>
      <c r="U345" t="str">
        <f>"0"</f>
        <v>0</v>
      </c>
      <c r="V345" s="5" t="str">
        <f>""</f>
        <v/>
      </c>
      <c r="W345" t="str">
        <f>"sycorporation4338@gmail.com"</f>
        <v>sycorporation4338@gmail.com</v>
      </c>
      <c r="X345" t="str">
        <f>"S&amp;Y CORPORATION"</f>
        <v>S&amp;Y CORPORATION</v>
      </c>
      <c r="Y345" t="str">
        <f>"SUNSHINE VARIETY SHOP"</f>
        <v>SUNSHINE VARIETY SHOP</v>
      </c>
      <c r="Z345" t="str">
        <f>"SINAPALO I"</f>
        <v>SINAPALO I</v>
      </c>
      <c r="AA345" t="str">
        <f>"PO BOX 999"</f>
        <v>PO BOX 999</v>
      </c>
      <c r="AB345" t="str">
        <f>"ROTA"</f>
        <v>ROTA</v>
      </c>
      <c r="AC345" t="str">
        <f t="shared" si="203"/>
        <v>MP</v>
      </c>
      <c r="AD345" t="str">
        <f>"96951"</f>
        <v>96951</v>
      </c>
      <c r="AE345" t="str">
        <f t="shared" si="204"/>
        <v>UNITED STATES OF AMERICA</v>
      </c>
      <c r="AF345" t="str">
        <f>""</f>
        <v/>
      </c>
      <c r="AG345" s="4" t="str">
        <f>"16705323131"</f>
        <v>16705323131</v>
      </c>
      <c r="AH345" t="str">
        <f>"0"</f>
        <v>0</v>
      </c>
      <c r="AI345" t="str">
        <f>"44413"</f>
        <v>44413</v>
      </c>
      <c r="AJ345" t="s">
        <v>79</v>
      </c>
      <c r="AK345" t="s">
        <v>79</v>
      </c>
      <c r="AL345" t="s">
        <v>80</v>
      </c>
      <c r="AM345" t="s">
        <v>79</v>
      </c>
      <c r="AP345" t="str">
        <f>"AIR CONDITIONING TECHNICIAN"</f>
        <v>AIR CONDITIONING TECHNICIAN</v>
      </c>
      <c r="AQ345" t="str">
        <f>"49-9021.00"</f>
        <v>49-9021.00</v>
      </c>
      <c r="AR345" t="str">
        <f>"Heating, Air Conditioning, and Refrigeration Mechanics and Installers"</f>
        <v>Heating, Air Conditioning, and Refrigeration Mechanics and Installers</v>
      </c>
      <c r="AS345" t="str">
        <f>"N/A"</f>
        <v>N/A</v>
      </c>
      <c r="AT345" t="s">
        <v>79</v>
      </c>
      <c r="AU345" t="str">
        <f>""</f>
        <v/>
      </c>
      <c r="AV345" t="str">
        <f>""</f>
        <v/>
      </c>
      <c r="AW345" t="s">
        <v>79</v>
      </c>
      <c r="AX345" t="str">
        <f>""</f>
        <v/>
      </c>
      <c r="AY345" t="s">
        <v>84</v>
      </c>
      <c r="BA345" t="s">
        <v>80</v>
      </c>
      <c r="BB345" t="s">
        <v>79</v>
      </c>
      <c r="BD345" t="s">
        <v>79</v>
      </c>
      <c r="BG345" t="s">
        <v>82</v>
      </c>
      <c r="BH345">
        <v>12</v>
      </c>
      <c r="BI345" t="s">
        <v>601</v>
      </c>
      <c r="BJ345" t="s">
        <v>763</v>
      </c>
      <c r="BK345" t="str">
        <f>"SINAPALO I VILLAGE"</f>
        <v>SINAPALO I VILLAGE</v>
      </c>
      <c r="BL345" t="str">
        <f>"PO BOX 999"</f>
        <v>PO BOX 999</v>
      </c>
      <c r="BM345" t="str">
        <f>"ROTA"</f>
        <v>ROTA</v>
      </c>
      <c r="BO345" t="s">
        <v>83</v>
      </c>
      <c r="BP345" s="4" t="str">
        <f>"96951"</f>
        <v>96951</v>
      </c>
      <c r="BQ345" t="s">
        <v>79</v>
      </c>
      <c r="BR345" t="str">
        <f>"49-9021.00"</f>
        <v>49-9021.00</v>
      </c>
      <c r="BS345" t="s">
        <v>177</v>
      </c>
      <c r="BT345" s="3">
        <v>9.6999999999999993</v>
      </c>
      <c r="BU345" t="s">
        <v>80</v>
      </c>
      <c r="BV345" t="s">
        <v>90</v>
      </c>
      <c r="BW345" t="s">
        <v>92</v>
      </c>
      <c r="BZ345" s="1">
        <v>45107</v>
      </c>
    </row>
    <row r="346" spans="1:78" ht="15" customHeight="1" x14ac:dyDescent="0.25">
      <c r="A346" t="s">
        <v>749</v>
      </c>
      <c r="B346" t="s">
        <v>94</v>
      </c>
      <c r="C346" s="1">
        <v>44835</v>
      </c>
      <c r="D346" s="1">
        <v>44879</v>
      </c>
      <c r="H346" t="s">
        <v>78</v>
      </c>
      <c r="I346" t="str">
        <f>"HAN"</f>
        <v>HAN</v>
      </c>
      <c r="J346" t="str">
        <f>"EUNSOO"</f>
        <v>EUNSOO</v>
      </c>
      <c r="K346" t="str">
        <f>""</f>
        <v/>
      </c>
      <c r="L346" t="str">
        <f>"SECRETARY"</f>
        <v>SECRETARY</v>
      </c>
      <c r="M346" t="str">
        <f>"PACIFIC PALM RESORT CHALAN KIYA"</f>
        <v>PACIFIC PALM RESORT CHALAN KIYA</v>
      </c>
      <c r="N346" t="str">
        <f>""</f>
        <v/>
      </c>
      <c r="O346" t="str">
        <f>"SAIPAN"</f>
        <v>SAIPAN</v>
      </c>
      <c r="P346" t="str">
        <f t="shared" si="200"/>
        <v>MP</v>
      </c>
      <c r="Q346" s="4" t="str">
        <f t="shared" ref="Q346:Q352" si="206">"96950"</f>
        <v>96950</v>
      </c>
      <c r="R346" t="str">
        <f t="shared" si="202"/>
        <v>UNITED STATES OF AMERICA</v>
      </c>
      <c r="S346" t="str">
        <f>""</f>
        <v/>
      </c>
      <c r="T346" s="5" t="str">
        <f>"16702851233"</f>
        <v>16702851233</v>
      </c>
      <c r="U346" t="str">
        <f>""</f>
        <v/>
      </c>
      <c r="V346" s="5" t="str">
        <f>""</f>
        <v/>
      </c>
      <c r="W346" t="str">
        <f>"kesam670@yahoo.com"</f>
        <v>kesam670@yahoo.com</v>
      </c>
      <c r="X346" t="str">
        <f>"KE &amp; SAM CORPORATION"</f>
        <v>KE &amp; SAM CORPORATION</v>
      </c>
      <c r="Y346" t="str">
        <f>""</f>
        <v/>
      </c>
      <c r="Z346" t="str">
        <f>"PACIFIC PALM RESORT CHALAN KIYA"</f>
        <v>PACIFIC PALM RESORT CHALAN KIYA</v>
      </c>
      <c r="AA346" t="str">
        <f>""</f>
        <v/>
      </c>
      <c r="AB346" t="str">
        <f>"SAIPAN"</f>
        <v>SAIPAN</v>
      </c>
      <c r="AC346" t="str">
        <f t="shared" si="203"/>
        <v>MP</v>
      </c>
      <c r="AD346" t="str">
        <f t="shared" ref="AD346:AD352" si="207">"96950"</f>
        <v>96950</v>
      </c>
      <c r="AE346" t="str">
        <f t="shared" si="204"/>
        <v>UNITED STATES OF AMERICA</v>
      </c>
      <c r="AF346" t="str">
        <f>""</f>
        <v/>
      </c>
      <c r="AG346" s="4" t="str">
        <f>"16702851233"</f>
        <v>16702851233</v>
      </c>
      <c r="AH346" t="str">
        <f>""</f>
        <v/>
      </c>
      <c r="AI346" t="str">
        <f>"56152"</f>
        <v>56152</v>
      </c>
      <c r="AJ346" t="s">
        <v>79</v>
      </c>
      <c r="AK346" t="s">
        <v>79</v>
      </c>
      <c r="AL346" t="s">
        <v>80</v>
      </c>
      <c r="AM346" t="s">
        <v>79</v>
      </c>
      <c r="AP346" t="str">
        <f>"TOUR GUIDE"</f>
        <v>TOUR GUIDE</v>
      </c>
      <c r="AQ346" t="str">
        <f>"39-7011.00"</f>
        <v>39-7011.00</v>
      </c>
      <c r="AR346" t="str">
        <f>"Tour Guides and Escorts"</f>
        <v>Tour Guides and Escorts</v>
      </c>
      <c r="AS346" t="str">
        <f>"SECRETARY"</f>
        <v>SECRETARY</v>
      </c>
      <c r="AT346" t="s">
        <v>79</v>
      </c>
      <c r="AU346" t="str">
        <f>""</f>
        <v/>
      </c>
      <c r="AV346" t="str">
        <f>""</f>
        <v/>
      </c>
      <c r="AW346" t="s">
        <v>79</v>
      </c>
      <c r="AX346" t="str">
        <f>""</f>
        <v/>
      </c>
      <c r="AY346" t="s">
        <v>84</v>
      </c>
      <c r="BA346" t="s">
        <v>80</v>
      </c>
      <c r="BB346" t="s">
        <v>79</v>
      </c>
      <c r="BD346" t="s">
        <v>79</v>
      </c>
      <c r="BG346" t="s">
        <v>82</v>
      </c>
      <c r="BH346">
        <v>3</v>
      </c>
      <c r="BI346" t="s">
        <v>750</v>
      </c>
      <c r="BJ346" t="s">
        <v>751</v>
      </c>
      <c r="BK346" t="str">
        <f>"PACIFIC PALM RESORT CHALAN KIYA"</f>
        <v>PACIFIC PALM RESORT CHALAN KIYA</v>
      </c>
      <c r="BL346" t="str">
        <f>""</f>
        <v/>
      </c>
      <c r="BM346" t="str">
        <f>"SAIPAN"</f>
        <v>SAIPAN</v>
      </c>
      <c r="BO346" t="s">
        <v>83</v>
      </c>
      <c r="BP346" s="4" t="str">
        <f t="shared" ref="BP346:BP353" si="208">"96950"</f>
        <v>96950</v>
      </c>
      <c r="BQ346" t="s">
        <v>79</v>
      </c>
      <c r="BR346" t="str">
        <f>"39-7011.00"</f>
        <v>39-7011.00</v>
      </c>
      <c r="BS346" t="s">
        <v>451</v>
      </c>
      <c r="BT346" s="3">
        <v>10.85</v>
      </c>
      <c r="BU346" t="s">
        <v>80</v>
      </c>
      <c r="BV346" t="s">
        <v>90</v>
      </c>
      <c r="BW346" t="s">
        <v>265</v>
      </c>
      <c r="BZ346" s="1">
        <v>45107</v>
      </c>
    </row>
    <row r="347" spans="1:78" ht="15" customHeight="1" x14ac:dyDescent="0.25">
      <c r="A347" t="s">
        <v>733</v>
      </c>
      <c r="B347" t="s">
        <v>94</v>
      </c>
      <c r="C347" s="1">
        <v>44834</v>
      </c>
      <c r="D347" s="1">
        <v>44874</v>
      </c>
      <c r="H347" t="s">
        <v>78</v>
      </c>
      <c r="I347" t="str">
        <f t="shared" ref="I347:I352" si="209">"Ham"</f>
        <v>Ham</v>
      </c>
      <c r="J347" t="str">
        <f t="shared" ref="J347:J352" si="210">"Jun"</f>
        <v>Jun</v>
      </c>
      <c r="K347" t="str">
        <f>""</f>
        <v/>
      </c>
      <c r="L347" t="str">
        <f t="shared" ref="L347:L352" si="211">"Human Resources Manager"</f>
        <v>Human Resources Manager</v>
      </c>
      <c r="M347" t="str">
        <f>"P.O.Box 500066"</f>
        <v>P.O.Box 500066</v>
      </c>
      <c r="N347" t="str">
        <f>""</f>
        <v/>
      </c>
      <c r="O347" t="str">
        <f t="shared" ref="O347:O352" si="212">"Saipan"</f>
        <v>Saipan</v>
      </c>
      <c r="P347" t="str">
        <f t="shared" si="200"/>
        <v>MP</v>
      </c>
      <c r="Q347" s="4" t="str">
        <f t="shared" si="206"/>
        <v>96950</v>
      </c>
      <c r="R347" t="str">
        <f t="shared" si="202"/>
        <v>UNITED STATES OF AMERICA</v>
      </c>
      <c r="S347" t="str">
        <f>""</f>
        <v/>
      </c>
      <c r="T347" s="5" t="str">
        <f>"16702345900"</f>
        <v>16702345900</v>
      </c>
      <c r="U347" t="str">
        <f t="shared" ref="U347:U352" si="213">"574"</f>
        <v>574</v>
      </c>
      <c r="V347" s="5" t="str">
        <f>""</f>
        <v/>
      </c>
      <c r="W347" t="str">
        <f t="shared" ref="W347:W352" si="214">"junham@hanwha.com"</f>
        <v>junham@hanwha.com</v>
      </c>
      <c r="X347" t="str">
        <f t="shared" ref="X347:X352" si="215">"World Corporation"</f>
        <v>World Corporation</v>
      </c>
      <c r="Y347" t="str">
        <f t="shared" ref="Y347:Y352" si="216">"Saipan World Resort"</f>
        <v>Saipan World Resort</v>
      </c>
      <c r="Z347" t="str">
        <f>"P.O.Box 500066"</f>
        <v>P.O.Box 500066</v>
      </c>
      <c r="AA347" t="str">
        <f>""</f>
        <v/>
      </c>
      <c r="AB347" t="str">
        <f t="shared" ref="AB347:AB352" si="217">"Saipan"</f>
        <v>Saipan</v>
      </c>
      <c r="AC347" t="str">
        <f t="shared" si="203"/>
        <v>MP</v>
      </c>
      <c r="AD347" t="str">
        <f t="shared" si="207"/>
        <v>96950</v>
      </c>
      <c r="AE347" t="str">
        <f t="shared" si="204"/>
        <v>UNITED STATES OF AMERICA</v>
      </c>
      <c r="AF347" t="str">
        <f>""</f>
        <v/>
      </c>
      <c r="AG347" s="4" t="str">
        <f t="shared" ref="AG347:AG352" si="218">"16702345900"</f>
        <v>16702345900</v>
      </c>
      <c r="AH347" t="str">
        <f>"574"</f>
        <v>574</v>
      </c>
      <c r="AI347" t="str">
        <f t="shared" ref="AI347:AI352" si="219">"721110"</f>
        <v>721110</v>
      </c>
      <c r="AJ347" t="s">
        <v>79</v>
      </c>
      <c r="AK347" t="s">
        <v>79</v>
      </c>
      <c r="AL347" t="s">
        <v>80</v>
      </c>
      <c r="AM347" t="s">
        <v>79</v>
      </c>
      <c r="AP347" t="str">
        <f>"Food &amp; Beverage Supervisor"</f>
        <v>Food &amp; Beverage Supervisor</v>
      </c>
      <c r="AQ347" t="str">
        <f>"35-1012.00"</f>
        <v>35-1012.00</v>
      </c>
      <c r="AR347" t="str">
        <f>"First-Line Supervisors of Food Preparation and Serving Workers"</f>
        <v>First-Line Supervisors of Food Preparation and Serving Workers</v>
      </c>
      <c r="AS347" t="str">
        <f>"Food &amp; Beverage Manager"</f>
        <v>Food &amp; Beverage Manager</v>
      </c>
      <c r="AT347" t="s">
        <v>82</v>
      </c>
      <c r="AU347" t="str">
        <f>"5"</f>
        <v>5</v>
      </c>
      <c r="AV347" t="str">
        <f>"Subordinate"</f>
        <v>Subordinate</v>
      </c>
      <c r="AW347" t="s">
        <v>79</v>
      </c>
      <c r="AX347" t="str">
        <f>""</f>
        <v/>
      </c>
      <c r="AY347" t="s">
        <v>84</v>
      </c>
      <c r="BA347" t="s">
        <v>80</v>
      </c>
      <c r="BB347" t="s">
        <v>79</v>
      </c>
      <c r="BD347" t="s">
        <v>79</v>
      </c>
      <c r="BG347" t="s">
        <v>82</v>
      </c>
      <c r="BH347">
        <v>24</v>
      </c>
      <c r="BI347" t="s">
        <v>734</v>
      </c>
      <c r="BJ347" t="s">
        <v>735</v>
      </c>
      <c r="BK347" t="str">
        <f t="shared" ref="BK347:BK352" si="220">"Beach Road Susupe"</f>
        <v>Beach Road Susupe</v>
      </c>
      <c r="BL347" t="str">
        <f>""</f>
        <v/>
      </c>
      <c r="BM347" t="str">
        <f>"Saipan"</f>
        <v>Saipan</v>
      </c>
      <c r="BO347" t="s">
        <v>83</v>
      </c>
      <c r="BP347" s="4" t="str">
        <f t="shared" si="208"/>
        <v>96950</v>
      </c>
      <c r="BQ347" t="s">
        <v>79</v>
      </c>
      <c r="BR347" t="str">
        <f>"35-1012.00"</f>
        <v>35-1012.00</v>
      </c>
      <c r="BS347" t="s">
        <v>694</v>
      </c>
      <c r="BT347" s="3">
        <v>9.75</v>
      </c>
      <c r="BU347" t="s">
        <v>80</v>
      </c>
      <c r="BV347" t="s">
        <v>90</v>
      </c>
      <c r="BW347" t="s">
        <v>92</v>
      </c>
      <c r="BZ347" s="1">
        <v>45107</v>
      </c>
    </row>
    <row r="348" spans="1:78" ht="15" customHeight="1" x14ac:dyDescent="0.25">
      <c r="A348" t="s">
        <v>736</v>
      </c>
      <c r="B348" t="s">
        <v>94</v>
      </c>
      <c r="C348" s="1">
        <v>44834</v>
      </c>
      <c r="D348" s="1">
        <v>44874</v>
      </c>
      <c r="H348" t="s">
        <v>78</v>
      </c>
      <c r="I348" t="str">
        <f t="shared" si="209"/>
        <v>Ham</v>
      </c>
      <c r="J348" t="str">
        <f t="shared" si="210"/>
        <v>Jun</v>
      </c>
      <c r="K348" t="str">
        <f>""</f>
        <v/>
      </c>
      <c r="L348" t="str">
        <f t="shared" si="211"/>
        <v>Human Resources Manager</v>
      </c>
      <c r="M348" t="str">
        <f>"PO Box 500066"</f>
        <v>PO Box 500066</v>
      </c>
      <c r="N348" t="str">
        <f>""</f>
        <v/>
      </c>
      <c r="O348" t="str">
        <f t="shared" si="212"/>
        <v>Saipan</v>
      </c>
      <c r="P348" t="str">
        <f t="shared" si="200"/>
        <v>MP</v>
      </c>
      <c r="Q348" s="4" t="str">
        <f t="shared" si="206"/>
        <v>96950</v>
      </c>
      <c r="R348" t="str">
        <f t="shared" si="202"/>
        <v>UNITED STATES OF AMERICA</v>
      </c>
      <c r="S348" t="str">
        <f>""</f>
        <v/>
      </c>
      <c r="T348" s="5" t="str">
        <f>"16702345900"</f>
        <v>16702345900</v>
      </c>
      <c r="U348" t="str">
        <f t="shared" si="213"/>
        <v>574</v>
      </c>
      <c r="V348" s="5" t="str">
        <f>""</f>
        <v/>
      </c>
      <c r="W348" t="str">
        <f t="shared" si="214"/>
        <v>junham@hanwha.com</v>
      </c>
      <c r="X348" t="str">
        <f t="shared" si="215"/>
        <v>World Corporation</v>
      </c>
      <c r="Y348" t="str">
        <f t="shared" si="216"/>
        <v>Saipan World Resort</v>
      </c>
      <c r="Z348" t="str">
        <f>"PO Box 500066"</f>
        <v>PO Box 500066</v>
      </c>
      <c r="AA348" t="str">
        <f>""</f>
        <v/>
      </c>
      <c r="AB348" t="str">
        <f t="shared" si="217"/>
        <v>Saipan</v>
      </c>
      <c r="AC348" t="str">
        <f t="shared" si="203"/>
        <v>MP</v>
      </c>
      <c r="AD348" t="str">
        <f t="shared" si="207"/>
        <v>96950</v>
      </c>
      <c r="AE348" t="str">
        <f t="shared" si="204"/>
        <v>UNITED STATES OF AMERICA</v>
      </c>
      <c r="AF348" t="str">
        <f>""</f>
        <v/>
      </c>
      <c r="AG348" s="4" t="str">
        <f t="shared" si="218"/>
        <v>16702345900</v>
      </c>
      <c r="AH348" t="str">
        <f>"575"</f>
        <v>575</v>
      </c>
      <c r="AI348" t="str">
        <f t="shared" si="219"/>
        <v>721110</v>
      </c>
      <c r="AJ348" t="s">
        <v>79</v>
      </c>
      <c r="AK348" t="s">
        <v>79</v>
      </c>
      <c r="AL348" t="s">
        <v>80</v>
      </c>
      <c r="AM348" t="s">
        <v>79</v>
      </c>
      <c r="AP348" t="str">
        <f>"Mechanic"</f>
        <v>Mechanic</v>
      </c>
      <c r="AQ348" t="str">
        <f>"49-9071.00"</f>
        <v>49-9071.00</v>
      </c>
      <c r="AR348" t="str">
        <f>"Maintenance and Repair Workers, General"</f>
        <v>Maintenance and Repair Workers, General</v>
      </c>
      <c r="AS348" t="str">
        <f>"Maintenance Supervisor"</f>
        <v>Maintenance Supervisor</v>
      </c>
      <c r="AT348" t="s">
        <v>79</v>
      </c>
      <c r="AU348" t="str">
        <f>""</f>
        <v/>
      </c>
      <c r="AV348" t="str">
        <f>""</f>
        <v/>
      </c>
      <c r="AW348" t="s">
        <v>79</v>
      </c>
      <c r="AX348" t="str">
        <f>""</f>
        <v/>
      </c>
      <c r="AY348" t="s">
        <v>84</v>
      </c>
      <c r="BA348" t="s">
        <v>119</v>
      </c>
      <c r="BB348" t="s">
        <v>79</v>
      </c>
      <c r="BD348" t="s">
        <v>79</v>
      </c>
      <c r="BG348" t="s">
        <v>82</v>
      </c>
      <c r="BH348">
        <v>24</v>
      </c>
      <c r="BI348" t="s">
        <v>737</v>
      </c>
      <c r="BJ348" t="s">
        <v>119</v>
      </c>
      <c r="BK348" t="str">
        <f t="shared" si="220"/>
        <v>Beach Road Susupe</v>
      </c>
      <c r="BL348" t="str">
        <f>""</f>
        <v/>
      </c>
      <c r="BM348" t="str">
        <f>"Saipan"</f>
        <v>Saipan</v>
      </c>
      <c r="BO348" t="s">
        <v>83</v>
      </c>
      <c r="BP348" s="4" t="str">
        <f t="shared" si="208"/>
        <v>96950</v>
      </c>
      <c r="BQ348" t="s">
        <v>79</v>
      </c>
      <c r="BR348" t="str">
        <f>"49-9071.00"</f>
        <v>49-9071.00</v>
      </c>
      <c r="BS348" t="s">
        <v>146</v>
      </c>
      <c r="BT348" s="3">
        <v>9.19</v>
      </c>
      <c r="BU348" t="s">
        <v>80</v>
      </c>
      <c r="BV348" t="s">
        <v>90</v>
      </c>
      <c r="BW348" t="s">
        <v>92</v>
      </c>
      <c r="BZ348" s="1">
        <v>45107</v>
      </c>
    </row>
    <row r="349" spans="1:78" ht="15" customHeight="1" x14ac:dyDescent="0.25">
      <c r="A349" t="s">
        <v>738</v>
      </c>
      <c r="B349" t="s">
        <v>94</v>
      </c>
      <c r="C349" s="1">
        <v>44834</v>
      </c>
      <c r="D349" s="1">
        <v>44874</v>
      </c>
      <c r="H349" t="s">
        <v>78</v>
      </c>
      <c r="I349" t="str">
        <f t="shared" si="209"/>
        <v>Ham</v>
      </c>
      <c r="J349" t="str">
        <f t="shared" si="210"/>
        <v>Jun</v>
      </c>
      <c r="K349" t="str">
        <f>""</f>
        <v/>
      </c>
      <c r="L349" t="str">
        <f t="shared" si="211"/>
        <v>Human Resources Manager</v>
      </c>
      <c r="M349" t="str">
        <f>"PO Box 500066"</f>
        <v>PO Box 500066</v>
      </c>
      <c r="N349" t="str">
        <f>""</f>
        <v/>
      </c>
      <c r="O349" t="str">
        <f t="shared" si="212"/>
        <v>Saipan</v>
      </c>
      <c r="P349" t="str">
        <f t="shared" si="200"/>
        <v>MP</v>
      </c>
      <c r="Q349" s="4" t="str">
        <f t="shared" si="206"/>
        <v>96950</v>
      </c>
      <c r="R349" t="str">
        <f t="shared" si="202"/>
        <v>UNITED STATES OF AMERICA</v>
      </c>
      <c r="S349" t="str">
        <f>""</f>
        <v/>
      </c>
      <c r="T349" s="5" t="str">
        <f>"16702345900"</f>
        <v>16702345900</v>
      </c>
      <c r="U349" t="str">
        <f t="shared" si="213"/>
        <v>574</v>
      </c>
      <c r="V349" s="5" t="str">
        <f>""</f>
        <v/>
      </c>
      <c r="W349" t="str">
        <f t="shared" si="214"/>
        <v>junham@hanwha.com</v>
      </c>
      <c r="X349" t="str">
        <f t="shared" si="215"/>
        <v>World Corporation</v>
      </c>
      <c r="Y349" t="str">
        <f t="shared" si="216"/>
        <v>Saipan World Resort</v>
      </c>
      <c r="Z349" t="str">
        <f>"PO Box 500066"</f>
        <v>PO Box 500066</v>
      </c>
      <c r="AA349" t="str">
        <f>""</f>
        <v/>
      </c>
      <c r="AB349" t="str">
        <f t="shared" si="217"/>
        <v>Saipan</v>
      </c>
      <c r="AC349" t="str">
        <f t="shared" si="203"/>
        <v>MP</v>
      </c>
      <c r="AD349" t="str">
        <f t="shared" si="207"/>
        <v>96950</v>
      </c>
      <c r="AE349" t="str">
        <f t="shared" si="204"/>
        <v>UNITED STATES OF AMERICA</v>
      </c>
      <c r="AF349" t="str">
        <f>""</f>
        <v/>
      </c>
      <c r="AG349" s="4" t="str">
        <f t="shared" si="218"/>
        <v>16702345900</v>
      </c>
      <c r="AH349" t="str">
        <f>"575"</f>
        <v>575</v>
      </c>
      <c r="AI349" t="str">
        <f t="shared" si="219"/>
        <v>721110</v>
      </c>
      <c r="AJ349" t="s">
        <v>79</v>
      </c>
      <c r="AK349" t="s">
        <v>79</v>
      </c>
      <c r="AL349" t="s">
        <v>80</v>
      </c>
      <c r="AM349" t="s">
        <v>79</v>
      </c>
      <c r="AP349" t="str">
        <f>"Baker"</f>
        <v>Baker</v>
      </c>
      <c r="AQ349" t="str">
        <f>"51-3011.00"</f>
        <v>51-3011.00</v>
      </c>
      <c r="AR349" t="str">
        <f>"Bakers"</f>
        <v>Bakers</v>
      </c>
      <c r="AS349" t="str">
        <f>"Pastry Chef"</f>
        <v>Pastry Chef</v>
      </c>
      <c r="AT349" t="s">
        <v>79</v>
      </c>
      <c r="AU349" t="str">
        <f>""</f>
        <v/>
      </c>
      <c r="AV349" t="str">
        <f>""</f>
        <v/>
      </c>
      <c r="AW349" t="s">
        <v>79</v>
      </c>
      <c r="AX349" t="str">
        <f>""</f>
        <v/>
      </c>
      <c r="AY349" t="s">
        <v>84</v>
      </c>
      <c r="BA349" t="s">
        <v>119</v>
      </c>
      <c r="BB349" t="s">
        <v>79</v>
      </c>
      <c r="BD349" t="s">
        <v>79</v>
      </c>
      <c r="BG349" t="s">
        <v>82</v>
      </c>
      <c r="BH349">
        <v>6</v>
      </c>
      <c r="BI349" t="s">
        <v>739</v>
      </c>
      <c r="BJ349" t="s">
        <v>702</v>
      </c>
      <c r="BK349" t="str">
        <f t="shared" si="220"/>
        <v>Beach Road Susupe</v>
      </c>
      <c r="BL349" t="str">
        <f>""</f>
        <v/>
      </c>
      <c r="BM349" t="str">
        <f>"Saipan"</f>
        <v>Saipan</v>
      </c>
      <c r="BO349" t="s">
        <v>83</v>
      </c>
      <c r="BP349" s="4" t="str">
        <f t="shared" si="208"/>
        <v>96950</v>
      </c>
      <c r="BQ349" t="s">
        <v>79</v>
      </c>
      <c r="BR349" t="str">
        <f>"35-1011.00"</f>
        <v>35-1011.00</v>
      </c>
      <c r="BS349" t="s">
        <v>740</v>
      </c>
      <c r="BT349" s="3">
        <v>13.71</v>
      </c>
      <c r="BU349" t="s">
        <v>80</v>
      </c>
      <c r="BV349" t="s">
        <v>90</v>
      </c>
      <c r="BW349" t="s">
        <v>92</v>
      </c>
      <c r="BZ349" s="1">
        <v>45107</v>
      </c>
    </row>
    <row r="350" spans="1:78" ht="15" customHeight="1" x14ac:dyDescent="0.25">
      <c r="A350" t="s">
        <v>741</v>
      </c>
      <c r="B350" t="s">
        <v>94</v>
      </c>
      <c r="C350" s="1">
        <v>44834</v>
      </c>
      <c r="D350" s="1">
        <v>44874</v>
      </c>
      <c r="H350" t="s">
        <v>78</v>
      </c>
      <c r="I350" t="str">
        <f t="shared" si="209"/>
        <v>Ham</v>
      </c>
      <c r="J350" t="str">
        <f t="shared" si="210"/>
        <v>Jun</v>
      </c>
      <c r="K350" t="str">
        <f>""</f>
        <v/>
      </c>
      <c r="L350" t="str">
        <f t="shared" si="211"/>
        <v>Human Resources Manager</v>
      </c>
      <c r="M350" t="str">
        <f>"PO Box 500066"</f>
        <v>PO Box 500066</v>
      </c>
      <c r="N350" t="str">
        <f>""</f>
        <v/>
      </c>
      <c r="O350" t="str">
        <f t="shared" si="212"/>
        <v>Saipan</v>
      </c>
      <c r="P350" t="str">
        <f t="shared" si="200"/>
        <v>MP</v>
      </c>
      <c r="Q350" s="4" t="str">
        <f t="shared" si="206"/>
        <v>96950</v>
      </c>
      <c r="R350" t="str">
        <f t="shared" si="202"/>
        <v>UNITED STATES OF AMERICA</v>
      </c>
      <c r="S350" t="str">
        <f>""</f>
        <v/>
      </c>
      <c r="T350" s="5" t="str">
        <f>"16702345900"</f>
        <v>16702345900</v>
      </c>
      <c r="U350" t="str">
        <f t="shared" si="213"/>
        <v>574</v>
      </c>
      <c r="V350" s="5" t="str">
        <f>""</f>
        <v/>
      </c>
      <c r="W350" t="str">
        <f t="shared" si="214"/>
        <v>junham@hanwha.com</v>
      </c>
      <c r="X350" t="str">
        <f t="shared" si="215"/>
        <v>World Corporation</v>
      </c>
      <c r="Y350" t="str">
        <f t="shared" si="216"/>
        <v>Saipan World Resort</v>
      </c>
      <c r="Z350" t="str">
        <f>"PO Box 500066"</f>
        <v>PO Box 500066</v>
      </c>
      <c r="AA350" t="str">
        <f>""</f>
        <v/>
      </c>
      <c r="AB350" t="str">
        <f t="shared" si="217"/>
        <v>Saipan</v>
      </c>
      <c r="AC350" t="str">
        <f t="shared" si="203"/>
        <v>MP</v>
      </c>
      <c r="AD350" t="str">
        <f t="shared" si="207"/>
        <v>96950</v>
      </c>
      <c r="AE350" t="str">
        <f t="shared" si="204"/>
        <v>UNITED STATES OF AMERICA</v>
      </c>
      <c r="AF350" t="str">
        <f>""</f>
        <v/>
      </c>
      <c r="AG350" s="4" t="str">
        <f t="shared" si="218"/>
        <v>16702345900</v>
      </c>
      <c r="AH350" t="str">
        <f>"575"</f>
        <v>575</v>
      </c>
      <c r="AI350" t="str">
        <f t="shared" si="219"/>
        <v>721110</v>
      </c>
      <c r="AJ350" t="s">
        <v>79</v>
      </c>
      <c r="AK350" t="s">
        <v>79</v>
      </c>
      <c r="AL350" t="s">
        <v>80</v>
      </c>
      <c r="AM350" t="s">
        <v>79</v>
      </c>
      <c r="AP350" t="str">
        <f>"Accountant"</f>
        <v>Accountant</v>
      </c>
      <c r="AQ350" t="str">
        <f>"43-3031.00"</f>
        <v>43-3031.00</v>
      </c>
      <c r="AR350" t="str">
        <f>"Bookkeeping, Accounting, and Auditing Clerks"</f>
        <v>Bookkeeping, Accounting, and Auditing Clerks</v>
      </c>
      <c r="AS350" t="str">
        <f>"Finance &amp; Planning Manager"</f>
        <v>Finance &amp; Planning Manager</v>
      </c>
      <c r="AT350" t="s">
        <v>79</v>
      </c>
      <c r="AU350" t="str">
        <f>""</f>
        <v/>
      </c>
      <c r="AV350" t="str">
        <f>""</f>
        <v/>
      </c>
      <c r="AW350" t="s">
        <v>79</v>
      </c>
      <c r="AX350" t="str">
        <f>""</f>
        <v/>
      </c>
      <c r="AY350" t="s">
        <v>124</v>
      </c>
      <c r="BA350" t="s">
        <v>119</v>
      </c>
      <c r="BB350" t="s">
        <v>79</v>
      </c>
      <c r="BD350" t="s">
        <v>79</v>
      </c>
      <c r="BG350" t="s">
        <v>82</v>
      </c>
      <c r="BH350">
        <v>24</v>
      </c>
      <c r="BI350" t="s">
        <v>742</v>
      </c>
      <c r="BJ350" t="s">
        <v>119</v>
      </c>
      <c r="BK350" t="str">
        <f t="shared" si="220"/>
        <v>Beach Road Susupe</v>
      </c>
      <c r="BL350" t="str">
        <f>""</f>
        <v/>
      </c>
      <c r="BM350" t="str">
        <f>"Saipan"</f>
        <v>Saipan</v>
      </c>
      <c r="BO350" t="s">
        <v>83</v>
      </c>
      <c r="BP350" s="4" t="str">
        <f t="shared" si="208"/>
        <v>96950</v>
      </c>
      <c r="BQ350" t="s">
        <v>79</v>
      </c>
      <c r="BR350" t="str">
        <f>"13-2011.00"</f>
        <v>13-2011.00</v>
      </c>
      <c r="BS350" t="s">
        <v>133</v>
      </c>
      <c r="BT350" s="3">
        <v>16.190000000000001</v>
      </c>
      <c r="BU350" t="s">
        <v>80</v>
      </c>
      <c r="BV350" t="s">
        <v>90</v>
      </c>
      <c r="BW350" t="s">
        <v>92</v>
      </c>
      <c r="BZ350" s="1">
        <v>45107</v>
      </c>
    </row>
    <row r="351" spans="1:78" ht="15" customHeight="1" x14ac:dyDescent="0.25">
      <c r="A351" t="s">
        <v>743</v>
      </c>
      <c r="B351" t="s">
        <v>94</v>
      </c>
      <c r="C351" s="1">
        <v>44834</v>
      </c>
      <c r="D351" s="1">
        <v>44874</v>
      </c>
      <c r="H351" t="s">
        <v>78</v>
      </c>
      <c r="I351" t="str">
        <f t="shared" si="209"/>
        <v>Ham</v>
      </c>
      <c r="J351" t="str">
        <f t="shared" si="210"/>
        <v>Jun</v>
      </c>
      <c r="K351" t="str">
        <f>""</f>
        <v/>
      </c>
      <c r="L351" t="str">
        <f t="shared" si="211"/>
        <v>Human Resources Manager</v>
      </c>
      <c r="M351" t="str">
        <f>"PO Box 500066"</f>
        <v>PO Box 500066</v>
      </c>
      <c r="N351" t="str">
        <f>""</f>
        <v/>
      </c>
      <c r="O351" t="str">
        <f t="shared" si="212"/>
        <v>Saipan</v>
      </c>
      <c r="P351" t="str">
        <f t="shared" si="200"/>
        <v>MP</v>
      </c>
      <c r="Q351" s="4" t="str">
        <f t="shared" si="206"/>
        <v>96950</v>
      </c>
      <c r="R351" t="str">
        <f t="shared" si="202"/>
        <v>UNITED STATES OF AMERICA</v>
      </c>
      <c r="S351" t="str">
        <f>""</f>
        <v/>
      </c>
      <c r="T351" s="5" t="str">
        <f>"1670235900"</f>
        <v>1670235900</v>
      </c>
      <c r="U351" t="str">
        <f t="shared" si="213"/>
        <v>574</v>
      </c>
      <c r="V351" s="5" t="str">
        <f>""</f>
        <v/>
      </c>
      <c r="W351" t="str">
        <f t="shared" si="214"/>
        <v>junham@hanwha.com</v>
      </c>
      <c r="X351" t="str">
        <f t="shared" si="215"/>
        <v>World Corporation</v>
      </c>
      <c r="Y351" t="str">
        <f t="shared" si="216"/>
        <v>Saipan World Resort</v>
      </c>
      <c r="Z351" t="str">
        <f>"PO Box 500066"</f>
        <v>PO Box 500066</v>
      </c>
      <c r="AA351" t="str">
        <f>""</f>
        <v/>
      </c>
      <c r="AB351" t="str">
        <f t="shared" si="217"/>
        <v>Saipan</v>
      </c>
      <c r="AC351" t="str">
        <f t="shared" si="203"/>
        <v>MP</v>
      </c>
      <c r="AD351" t="str">
        <f t="shared" si="207"/>
        <v>96950</v>
      </c>
      <c r="AE351" t="str">
        <f t="shared" si="204"/>
        <v>UNITED STATES OF AMERICA</v>
      </c>
      <c r="AF351" t="str">
        <f>""</f>
        <v/>
      </c>
      <c r="AG351" s="4" t="str">
        <f t="shared" si="218"/>
        <v>16702345900</v>
      </c>
      <c r="AH351" t="str">
        <f>"575"</f>
        <v>575</v>
      </c>
      <c r="AI351" t="str">
        <f t="shared" si="219"/>
        <v>721110</v>
      </c>
      <c r="AJ351" t="s">
        <v>79</v>
      </c>
      <c r="AK351" t="s">
        <v>79</v>
      </c>
      <c r="AL351" t="s">
        <v>80</v>
      </c>
      <c r="AM351" t="s">
        <v>79</v>
      </c>
      <c r="AP351" t="str">
        <f>"Sous Chef"</f>
        <v>Sous Chef</v>
      </c>
      <c r="AQ351" t="str">
        <f>"35-1011.00"</f>
        <v>35-1011.00</v>
      </c>
      <c r="AR351" t="str">
        <f>"Chefs and Head Cooks"</f>
        <v>Chefs and Head Cooks</v>
      </c>
      <c r="AS351" t="str">
        <f>"Executive Chef"</f>
        <v>Executive Chef</v>
      </c>
      <c r="AT351" t="s">
        <v>82</v>
      </c>
      <c r="AU351" t="str">
        <f>"4"</f>
        <v>4</v>
      </c>
      <c r="AV351" t="str">
        <f>"Both"</f>
        <v>Both</v>
      </c>
      <c r="AW351" t="s">
        <v>79</v>
      </c>
      <c r="AX351" t="str">
        <f>""</f>
        <v/>
      </c>
      <c r="AY351" t="s">
        <v>84</v>
      </c>
      <c r="BA351" t="s">
        <v>119</v>
      </c>
      <c r="BB351" t="s">
        <v>79</v>
      </c>
      <c r="BD351" t="s">
        <v>79</v>
      </c>
      <c r="BG351" t="s">
        <v>82</v>
      </c>
      <c r="BH351">
        <v>24</v>
      </c>
      <c r="BI351" t="s">
        <v>744</v>
      </c>
      <c r="BJ351" t="s">
        <v>702</v>
      </c>
      <c r="BK351" t="str">
        <f t="shared" si="220"/>
        <v>Beach Road Susupe</v>
      </c>
      <c r="BL351" t="str">
        <f>""</f>
        <v/>
      </c>
      <c r="BM351" t="str">
        <f>"Saipan "</f>
        <v xml:space="preserve">Saipan </v>
      </c>
      <c r="BO351" t="s">
        <v>83</v>
      </c>
      <c r="BP351" s="4" t="str">
        <f t="shared" si="208"/>
        <v>96950</v>
      </c>
      <c r="BQ351" t="s">
        <v>79</v>
      </c>
      <c r="BR351" t="str">
        <f>"35-1011.00"</f>
        <v>35-1011.00</v>
      </c>
      <c r="BS351" t="s">
        <v>740</v>
      </c>
      <c r="BT351" s="3">
        <v>13.71</v>
      </c>
      <c r="BU351" t="s">
        <v>80</v>
      </c>
      <c r="BV351" t="s">
        <v>90</v>
      </c>
      <c r="BW351" t="s">
        <v>92</v>
      </c>
      <c r="BZ351" s="1">
        <v>45107</v>
      </c>
    </row>
    <row r="352" spans="1:78" ht="15" customHeight="1" x14ac:dyDescent="0.25">
      <c r="A352" t="s">
        <v>747</v>
      </c>
      <c r="B352" t="s">
        <v>94</v>
      </c>
      <c r="C352" s="1">
        <v>44834</v>
      </c>
      <c r="D352" s="1">
        <v>44874</v>
      </c>
      <c r="H352" t="s">
        <v>78</v>
      </c>
      <c r="I352" t="str">
        <f t="shared" si="209"/>
        <v>Ham</v>
      </c>
      <c r="J352" t="str">
        <f t="shared" si="210"/>
        <v>Jun</v>
      </c>
      <c r="K352" t="str">
        <f>""</f>
        <v/>
      </c>
      <c r="L352" t="str">
        <f t="shared" si="211"/>
        <v>Human Resources Manager</v>
      </c>
      <c r="M352" t="str">
        <f>"PO Box 500066"</f>
        <v>PO Box 500066</v>
      </c>
      <c r="N352" t="str">
        <f>""</f>
        <v/>
      </c>
      <c r="O352" t="str">
        <f t="shared" si="212"/>
        <v>Saipan</v>
      </c>
      <c r="P352" t="str">
        <f t="shared" si="200"/>
        <v>MP</v>
      </c>
      <c r="Q352" s="4" t="str">
        <f t="shared" si="206"/>
        <v>96950</v>
      </c>
      <c r="R352" t="str">
        <f t="shared" si="202"/>
        <v>UNITED STATES OF AMERICA</v>
      </c>
      <c r="S352" t="str">
        <f>""</f>
        <v/>
      </c>
      <c r="T352" s="5" t="str">
        <f>"16702345900"</f>
        <v>16702345900</v>
      </c>
      <c r="U352" t="str">
        <f t="shared" si="213"/>
        <v>574</v>
      </c>
      <c r="V352" s="5" t="str">
        <f>""</f>
        <v/>
      </c>
      <c r="W352" t="str">
        <f t="shared" si="214"/>
        <v>junham@hanwha.com</v>
      </c>
      <c r="X352" t="str">
        <f t="shared" si="215"/>
        <v>World Corporation</v>
      </c>
      <c r="Y352" t="str">
        <f t="shared" si="216"/>
        <v>Saipan World Resort</v>
      </c>
      <c r="Z352" t="str">
        <f>"PO Box 500066"</f>
        <v>PO Box 500066</v>
      </c>
      <c r="AA352" t="str">
        <f>""</f>
        <v/>
      </c>
      <c r="AB352" t="str">
        <f t="shared" si="217"/>
        <v>Saipan</v>
      </c>
      <c r="AC352" t="str">
        <f t="shared" si="203"/>
        <v>MP</v>
      </c>
      <c r="AD352" t="str">
        <f t="shared" si="207"/>
        <v>96950</v>
      </c>
      <c r="AE352" t="str">
        <f t="shared" si="204"/>
        <v>UNITED STATES OF AMERICA</v>
      </c>
      <c r="AF352" t="str">
        <f>""</f>
        <v/>
      </c>
      <c r="AG352" s="4" t="str">
        <f t="shared" si="218"/>
        <v>16702345900</v>
      </c>
      <c r="AH352" t="str">
        <f>"575"</f>
        <v>575</v>
      </c>
      <c r="AI352" t="str">
        <f t="shared" si="219"/>
        <v>721110</v>
      </c>
      <c r="AJ352" t="s">
        <v>79</v>
      </c>
      <c r="AK352" t="s">
        <v>79</v>
      </c>
      <c r="AL352" t="s">
        <v>80</v>
      </c>
      <c r="AM352" t="s">
        <v>79</v>
      </c>
      <c r="AP352" t="str">
        <f>"Pastry Chef"</f>
        <v>Pastry Chef</v>
      </c>
      <c r="AQ352" t="str">
        <f>"35-1011.00"</f>
        <v>35-1011.00</v>
      </c>
      <c r="AR352" t="str">
        <f>"Chefs and Head Cooks"</f>
        <v>Chefs and Head Cooks</v>
      </c>
      <c r="AS352" t="str">
        <f>"Executive Chef"</f>
        <v>Executive Chef</v>
      </c>
      <c r="AT352" t="s">
        <v>82</v>
      </c>
      <c r="AU352" t="str">
        <f>"2"</f>
        <v>2</v>
      </c>
      <c r="AV352" t="str">
        <f>"Both"</f>
        <v>Both</v>
      </c>
      <c r="AW352" t="s">
        <v>79</v>
      </c>
      <c r="AX352" t="str">
        <f>""</f>
        <v/>
      </c>
      <c r="AY352" t="s">
        <v>84</v>
      </c>
      <c r="BA352" t="s">
        <v>119</v>
      </c>
      <c r="BB352" t="s">
        <v>79</v>
      </c>
      <c r="BD352" t="s">
        <v>79</v>
      </c>
      <c r="BG352" t="s">
        <v>82</v>
      </c>
      <c r="BH352">
        <v>12</v>
      </c>
      <c r="BI352" t="s">
        <v>748</v>
      </c>
      <c r="BJ352" t="s">
        <v>702</v>
      </c>
      <c r="BK352" t="str">
        <f t="shared" si="220"/>
        <v>Beach Road Susupe</v>
      </c>
      <c r="BL352" t="str">
        <f>""</f>
        <v/>
      </c>
      <c r="BM352" t="str">
        <f>"Saipan"</f>
        <v>Saipan</v>
      </c>
      <c r="BO352" t="s">
        <v>83</v>
      </c>
      <c r="BP352" s="4" t="str">
        <f t="shared" si="208"/>
        <v>96950</v>
      </c>
      <c r="BQ352" t="s">
        <v>79</v>
      </c>
      <c r="BR352" t="str">
        <f>"35-1011.00"</f>
        <v>35-1011.00</v>
      </c>
      <c r="BS352" t="s">
        <v>740</v>
      </c>
      <c r="BT352" s="3">
        <v>13.71</v>
      </c>
      <c r="BU352" t="s">
        <v>80</v>
      </c>
      <c r="BV352" t="s">
        <v>90</v>
      </c>
      <c r="BW352" t="s">
        <v>92</v>
      </c>
      <c r="BZ352" s="1">
        <v>45107</v>
      </c>
    </row>
    <row r="353" spans="1:78" ht="15" customHeight="1" x14ac:dyDescent="0.25">
      <c r="A353" t="s">
        <v>705</v>
      </c>
      <c r="B353" t="s">
        <v>94</v>
      </c>
      <c r="C353" s="1">
        <v>44833</v>
      </c>
      <c r="D353" s="1">
        <v>44874</v>
      </c>
      <c r="H353" t="s">
        <v>78</v>
      </c>
      <c r="I353" t="str">
        <f>"MENDIOLA"</f>
        <v>MENDIOLA</v>
      </c>
      <c r="J353" t="str">
        <f>"ESTRELLA"</f>
        <v>ESTRELLA</v>
      </c>
      <c r="K353" t="str">
        <f>"CLITAR"</f>
        <v>CLITAR</v>
      </c>
      <c r="L353" t="str">
        <f>"PROPRIETOR"</f>
        <v>PROPRIETOR</v>
      </c>
      <c r="M353" t="str">
        <f>"DISTRICT 4, SONGSONG VILLAGE"</f>
        <v>DISTRICT 4, SONGSONG VILLAGE</v>
      </c>
      <c r="N353" t="str">
        <f>"P.O. BOX 966"</f>
        <v>P.O. BOX 966</v>
      </c>
      <c r="O353" t="str">
        <f>"ROTA"</f>
        <v>ROTA</v>
      </c>
      <c r="P353" t="str">
        <f t="shared" si="200"/>
        <v>MP</v>
      </c>
      <c r="Q353" s="4" t="str">
        <f>"96951"</f>
        <v>96951</v>
      </c>
      <c r="R353" t="str">
        <f t="shared" si="202"/>
        <v>UNITED STATES OF AMERICA</v>
      </c>
      <c r="S353" t="str">
        <f>"N/A"</f>
        <v>N/A</v>
      </c>
      <c r="T353" s="5" t="str">
        <f>"16705320363"</f>
        <v>16705320363</v>
      </c>
      <c r="U353" t="str">
        <f>""</f>
        <v/>
      </c>
      <c r="V353" s="5" t="str">
        <f>""</f>
        <v/>
      </c>
      <c r="W353" t="str">
        <f>"cw1harvest@gmail.com"</f>
        <v>cw1harvest@gmail.com</v>
      </c>
      <c r="X353" t="str">
        <f>"ESTRELLA C. MENDIOLA"</f>
        <v>ESTRELLA C. MENDIOLA</v>
      </c>
      <c r="Y353" t="str">
        <f>"3KINGS MANPOWER SERVICES/HARVEST MART/3KINGS MARKET"</f>
        <v>3KINGS MANPOWER SERVICES/HARVEST MART/3KINGS MARKET</v>
      </c>
      <c r="Z353" t="str">
        <f>"DISTRICT 4, SONGSONG VILLAGE"</f>
        <v>DISTRICT 4, SONGSONG VILLAGE</v>
      </c>
      <c r="AA353" t="str">
        <f>"P.O. BOX 966"</f>
        <v>P.O. BOX 966</v>
      </c>
      <c r="AB353" t="str">
        <f>"ROTA"</f>
        <v>ROTA</v>
      </c>
      <c r="AC353" t="str">
        <f t="shared" si="203"/>
        <v>MP</v>
      </c>
      <c r="AD353" t="str">
        <f>"96951"</f>
        <v>96951</v>
      </c>
      <c r="AE353" t="str">
        <f t="shared" si="204"/>
        <v>UNITED STATES OF AMERICA</v>
      </c>
      <c r="AF353" t="str">
        <f>"N/A"</f>
        <v>N/A</v>
      </c>
      <c r="AG353" s="4" t="str">
        <f>"16705320363"</f>
        <v>16705320363</v>
      </c>
      <c r="AH353" t="str">
        <f>""</f>
        <v/>
      </c>
      <c r="AI353" t="str">
        <f>"561320"</f>
        <v>561320</v>
      </c>
      <c r="AJ353" t="s">
        <v>79</v>
      </c>
      <c r="AK353" t="s">
        <v>79</v>
      </c>
      <c r="AL353" t="s">
        <v>80</v>
      </c>
      <c r="AM353" t="s">
        <v>79</v>
      </c>
      <c r="AP353" t="str">
        <f>"HOUSEKEEPER"</f>
        <v>HOUSEKEEPER</v>
      </c>
      <c r="AQ353" t="str">
        <f>"37-2012.00"</f>
        <v>37-2012.00</v>
      </c>
      <c r="AR353" t="str">
        <f>"Maids and Housekeeping Cleaners"</f>
        <v>Maids and Housekeeping Cleaners</v>
      </c>
      <c r="AS353" t="str">
        <f>"OWNER"</f>
        <v>OWNER</v>
      </c>
      <c r="AT353" t="s">
        <v>79</v>
      </c>
      <c r="AU353" t="str">
        <f>""</f>
        <v/>
      </c>
      <c r="AV353" t="str">
        <f>""</f>
        <v/>
      </c>
      <c r="AW353" t="s">
        <v>79</v>
      </c>
      <c r="AX353" t="str">
        <f>""</f>
        <v/>
      </c>
      <c r="AY353" t="s">
        <v>81</v>
      </c>
      <c r="BA353" t="s">
        <v>80</v>
      </c>
      <c r="BB353" t="s">
        <v>79</v>
      </c>
      <c r="BD353" t="s">
        <v>79</v>
      </c>
      <c r="BG353" t="s">
        <v>82</v>
      </c>
      <c r="BH353">
        <v>3</v>
      </c>
      <c r="BI353" t="s">
        <v>706</v>
      </c>
      <c r="BJ353" s="2" t="s">
        <v>707</v>
      </c>
      <c r="BK353" t="str">
        <f>"KATUPAT DRIVE SAN VICENTE"</f>
        <v>KATUPAT DRIVE SAN VICENTE</v>
      </c>
      <c r="BL353" t="str">
        <f>"P.O. BOX 7912"</f>
        <v>P.O. BOX 7912</v>
      </c>
      <c r="BM353" t="str">
        <f>"SAIPAN"</f>
        <v>SAIPAN</v>
      </c>
      <c r="BO353" t="s">
        <v>83</v>
      </c>
      <c r="BP353" s="4" t="str">
        <f t="shared" si="208"/>
        <v>96950</v>
      </c>
      <c r="BQ353" t="s">
        <v>79</v>
      </c>
      <c r="BR353" t="str">
        <f>"37-2012.00"</f>
        <v>37-2012.00</v>
      </c>
      <c r="BS353" t="s">
        <v>109</v>
      </c>
      <c r="BT353" s="3">
        <v>7.56</v>
      </c>
      <c r="BU353" t="s">
        <v>80</v>
      </c>
      <c r="BV353" t="s">
        <v>90</v>
      </c>
      <c r="BW353" t="s">
        <v>92</v>
      </c>
      <c r="BZ353" s="1">
        <v>45107</v>
      </c>
    </row>
    <row r="354" spans="1:78" ht="15" customHeight="1" x14ac:dyDescent="0.25">
      <c r="A354" t="s">
        <v>708</v>
      </c>
      <c r="B354" t="s">
        <v>94</v>
      </c>
      <c r="C354" s="1">
        <v>44833</v>
      </c>
      <c r="D354" s="1">
        <v>44874</v>
      </c>
      <c r="H354" t="s">
        <v>78</v>
      </c>
      <c r="I354" t="str">
        <f>"MENDIOLA"</f>
        <v>MENDIOLA</v>
      </c>
      <c r="J354" t="str">
        <f>"ESTRELLA"</f>
        <v>ESTRELLA</v>
      </c>
      <c r="K354" t="str">
        <f>"CLITAR"</f>
        <v>CLITAR</v>
      </c>
      <c r="L354" t="str">
        <f>"PROPRIETOR"</f>
        <v>PROPRIETOR</v>
      </c>
      <c r="M354" t="str">
        <f>"DISTRICT 4, SONGSONG VILLAGE"</f>
        <v>DISTRICT 4, SONGSONG VILLAGE</v>
      </c>
      <c r="N354" t="str">
        <f>"P.O. BOX 966"</f>
        <v>P.O. BOX 966</v>
      </c>
      <c r="O354" t="str">
        <f>"ROTA"</f>
        <v>ROTA</v>
      </c>
      <c r="P354" t="str">
        <f t="shared" ref="P354:P385" si="221">"MP"</f>
        <v>MP</v>
      </c>
      <c r="Q354" s="4" t="str">
        <f>"96951"</f>
        <v>96951</v>
      </c>
      <c r="R354" t="str">
        <f t="shared" si="202"/>
        <v>UNITED STATES OF AMERICA</v>
      </c>
      <c r="S354" t="str">
        <f>"N/A"</f>
        <v>N/A</v>
      </c>
      <c r="T354" s="5" t="str">
        <f>"16705320363"</f>
        <v>16705320363</v>
      </c>
      <c r="U354" t="str">
        <f>""</f>
        <v/>
      </c>
      <c r="V354" s="5" t="str">
        <f>""</f>
        <v/>
      </c>
      <c r="W354" t="str">
        <f>"cw1harvest@gmail.com"</f>
        <v>cw1harvest@gmail.com</v>
      </c>
      <c r="X354" t="str">
        <f>"ESTRELLA C. MENDIOLA"</f>
        <v>ESTRELLA C. MENDIOLA</v>
      </c>
      <c r="Y354" t="str">
        <f>"3KINGS MANPOWER SERVICES/HARVEST MART/3KINGS MARKET"</f>
        <v>3KINGS MANPOWER SERVICES/HARVEST MART/3KINGS MARKET</v>
      </c>
      <c r="Z354" t="str">
        <f>"DISTRICT 4, SONGSONG VILLAGE"</f>
        <v>DISTRICT 4, SONGSONG VILLAGE</v>
      </c>
      <c r="AA354" t="str">
        <f>"P.O. BOX 966"</f>
        <v>P.O. BOX 966</v>
      </c>
      <c r="AB354" t="str">
        <f>"ROTA"</f>
        <v>ROTA</v>
      </c>
      <c r="AC354" t="str">
        <f t="shared" ref="AC354:AC385" si="222">"MP"</f>
        <v>MP</v>
      </c>
      <c r="AD354" t="str">
        <f>"96951"</f>
        <v>96951</v>
      </c>
      <c r="AE354" t="str">
        <f t="shared" si="204"/>
        <v>UNITED STATES OF AMERICA</v>
      </c>
      <c r="AF354" t="str">
        <f>"N/A"</f>
        <v>N/A</v>
      </c>
      <c r="AG354" s="4" t="str">
        <f>"16705320363"</f>
        <v>16705320363</v>
      </c>
      <c r="AH354" t="str">
        <f>""</f>
        <v/>
      </c>
      <c r="AI354" t="str">
        <f>"561320"</f>
        <v>561320</v>
      </c>
      <c r="AJ354" t="s">
        <v>79</v>
      </c>
      <c r="AK354" t="s">
        <v>79</v>
      </c>
      <c r="AL354" t="s">
        <v>80</v>
      </c>
      <c r="AM354" t="s">
        <v>79</v>
      </c>
      <c r="AP354" t="str">
        <f>"HOUSEKEEPER"</f>
        <v>HOUSEKEEPER</v>
      </c>
      <c r="AQ354" t="str">
        <f>"37-2012.00"</f>
        <v>37-2012.00</v>
      </c>
      <c r="AR354" t="str">
        <f>"Maids and Housekeeping Cleaners"</f>
        <v>Maids and Housekeeping Cleaners</v>
      </c>
      <c r="AS354" t="str">
        <f>"OWNER"</f>
        <v>OWNER</v>
      </c>
      <c r="AT354" t="s">
        <v>79</v>
      </c>
      <c r="AU354" t="str">
        <f>""</f>
        <v/>
      </c>
      <c r="AV354" t="str">
        <f>""</f>
        <v/>
      </c>
      <c r="AW354" t="s">
        <v>79</v>
      </c>
      <c r="AX354" t="str">
        <f>""</f>
        <v/>
      </c>
      <c r="AY354" t="s">
        <v>81</v>
      </c>
      <c r="BA354" t="s">
        <v>80</v>
      </c>
      <c r="BB354" t="s">
        <v>79</v>
      </c>
      <c r="BD354" t="s">
        <v>79</v>
      </c>
      <c r="BG354" t="s">
        <v>82</v>
      </c>
      <c r="BH354">
        <v>3</v>
      </c>
      <c r="BI354" t="s">
        <v>706</v>
      </c>
      <c r="BJ354" s="2" t="s">
        <v>709</v>
      </c>
      <c r="BK354" t="str">
        <f>"SINAPALO 2 VILLAGE"</f>
        <v>SINAPALO 2 VILLAGE</v>
      </c>
      <c r="BL354" t="str">
        <f>"P.O. BOX 1092"</f>
        <v>P.O. BOX 1092</v>
      </c>
      <c r="BM354" t="str">
        <f>"ROTA"</f>
        <v>ROTA</v>
      </c>
      <c r="BO354" t="s">
        <v>83</v>
      </c>
      <c r="BP354" s="4" t="str">
        <f>"96951"</f>
        <v>96951</v>
      </c>
      <c r="BQ354" t="s">
        <v>79</v>
      </c>
      <c r="BR354" t="str">
        <f>"37-2012.00"</f>
        <v>37-2012.00</v>
      </c>
      <c r="BS354" t="s">
        <v>109</v>
      </c>
      <c r="BT354" s="3">
        <v>7.56</v>
      </c>
      <c r="BU354" t="s">
        <v>80</v>
      </c>
      <c r="BV354" t="s">
        <v>90</v>
      </c>
      <c r="BW354" t="s">
        <v>92</v>
      </c>
      <c r="BZ354" s="1">
        <v>45107</v>
      </c>
    </row>
    <row r="355" spans="1:78" ht="15" customHeight="1" x14ac:dyDescent="0.25">
      <c r="A355" t="s">
        <v>710</v>
      </c>
      <c r="B355" t="s">
        <v>94</v>
      </c>
      <c r="C355" s="1">
        <v>44833</v>
      </c>
      <c r="D355" s="1">
        <v>44874</v>
      </c>
      <c r="H355" t="s">
        <v>78</v>
      </c>
      <c r="I355" t="str">
        <f>"Cataluna"</f>
        <v>Cataluna</v>
      </c>
      <c r="J355" t="str">
        <f>"Freddie"</f>
        <v>Freddie</v>
      </c>
      <c r="K355" t="str">
        <f>"Zamora"</f>
        <v>Zamora</v>
      </c>
      <c r="L355" t="str">
        <f>"President"</f>
        <v>President</v>
      </c>
      <c r="M355" t="str">
        <f>"PO Box 503984"</f>
        <v>PO Box 503984</v>
      </c>
      <c r="N355" t="str">
        <f>""</f>
        <v/>
      </c>
      <c r="O355" t="str">
        <f>"Saipan"</f>
        <v>Saipan</v>
      </c>
      <c r="P355" t="str">
        <f t="shared" si="221"/>
        <v>MP</v>
      </c>
      <c r="Q355" s="4" t="str">
        <f t="shared" ref="Q355:Q386" si="223">"96950"</f>
        <v>96950</v>
      </c>
      <c r="R355" t="str">
        <f t="shared" si="202"/>
        <v>UNITED STATES OF AMERICA</v>
      </c>
      <c r="S355" t="str">
        <f>"n/a"</f>
        <v>n/a</v>
      </c>
      <c r="T355" s="5" t="str">
        <f>"16702336927"</f>
        <v>16702336927</v>
      </c>
      <c r="U355" t="str">
        <f>""</f>
        <v/>
      </c>
      <c r="V355" s="5" t="str">
        <f>""</f>
        <v/>
      </c>
      <c r="W355" t="str">
        <f>"cpacificcorp@gmail.com"</f>
        <v>cpacificcorp@gmail.com</v>
      </c>
      <c r="X355" t="str">
        <f>"C Pacific Corporation"</f>
        <v>C Pacific Corporation</v>
      </c>
      <c r="Y355" t="str">
        <f>"Five Star Builders"</f>
        <v>Five Star Builders</v>
      </c>
      <c r="Z355" t="str">
        <f>"PO Box 503984"</f>
        <v>PO Box 503984</v>
      </c>
      <c r="AA355" t="str">
        <f>""</f>
        <v/>
      </c>
      <c r="AB355" t="str">
        <f>"Saipan"</f>
        <v>Saipan</v>
      </c>
      <c r="AC355" t="str">
        <f t="shared" si="222"/>
        <v>MP</v>
      </c>
      <c r="AD355" t="str">
        <f t="shared" ref="AD355:AD386" si="224">"96950"</f>
        <v>96950</v>
      </c>
      <c r="AE355" t="str">
        <f t="shared" si="204"/>
        <v>UNITED STATES OF AMERICA</v>
      </c>
      <c r="AF355" t="str">
        <f>"N/A"</f>
        <v>N/A</v>
      </c>
      <c r="AG355" s="4" t="str">
        <f>"16702336927"</f>
        <v>16702336927</v>
      </c>
      <c r="AH355" t="str">
        <f>""</f>
        <v/>
      </c>
      <c r="AI355" t="str">
        <f>"236220"</f>
        <v>236220</v>
      </c>
      <c r="AJ355" t="s">
        <v>79</v>
      </c>
      <c r="AK355" t="s">
        <v>79</v>
      </c>
      <c r="AL355" t="s">
        <v>80</v>
      </c>
      <c r="AM355" t="s">
        <v>79</v>
      </c>
      <c r="AP355" t="str">
        <f>"Civil Designer"</f>
        <v>Civil Designer</v>
      </c>
      <c r="AQ355" t="str">
        <f>"17-3011.00"</f>
        <v>17-3011.00</v>
      </c>
      <c r="AR355" t="str">
        <f>"Architectural and Civil Drafters"</f>
        <v>Architectural and Civil Drafters</v>
      </c>
      <c r="AS355" t="str">
        <f>""</f>
        <v/>
      </c>
      <c r="AT355" t="s">
        <v>79</v>
      </c>
      <c r="AU355" t="str">
        <f>""</f>
        <v/>
      </c>
      <c r="AV355" t="str">
        <f>""</f>
        <v/>
      </c>
      <c r="AW355" t="s">
        <v>79</v>
      </c>
      <c r="AX355" t="str">
        <f>""</f>
        <v/>
      </c>
      <c r="AY355" t="s">
        <v>95</v>
      </c>
      <c r="BA355" t="s">
        <v>711</v>
      </c>
      <c r="BB355" t="s">
        <v>79</v>
      </c>
      <c r="BD355" t="s">
        <v>79</v>
      </c>
      <c r="BG355" t="s">
        <v>82</v>
      </c>
      <c r="BH355">
        <v>36</v>
      </c>
      <c r="BI355" t="s">
        <v>712</v>
      </c>
      <c r="BJ355" s="2" t="s">
        <v>713</v>
      </c>
      <c r="BK355" t="str">
        <f>"Beach Road San Antonio"</f>
        <v>Beach Road San Antonio</v>
      </c>
      <c r="BL355" t="str">
        <f>""</f>
        <v/>
      </c>
      <c r="BM355" t="str">
        <f>"Saipan"</f>
        <v>Saipan</v>
      </c>
      <c r="BO355" t="s">
        <v>83</v>
      </c>
      <c r="BP355" s="4" t="str">
        <f t="shared" ref="BP355:BP386" si="225">"96950"</f>
        <v>96950</v>
      </c>
      <c r="BQ355" t="s">
        <v>79</v>
      </c>
      <c r="BR355" t="str">
        <f>"17-3011.00"</f>
        <v>17-3011.00</v>
      </c>
      <c r="BS355" t="s">
        <v>714</v>
      </c>
      <c r="BT355" s="3">
        <v>16.75</v>
      </c>
      <c r="BU355" t="s">
        <v>80</v>
      </c>
      <c r="BV355" t="s">
        <v>90</v>
      </c>
      <c r="BW355" t="s">
        <v>92</v>
      </c>
      <c r="BZ355" s="1">
        <v>45107</v>
      </c>
    </row>
    <row r="356" spans="1:78" ht="15" customHeight="1" x14ac:dyDescent="0.25">
      <c r="A356" t="s">
        <v>715</v>
      </c>
      <c r="B356" t="s">
        <v>94</v>
      </c>
      <c r="C356" s="1">
        <v>44833</v>
      </c>
      <c r="D356" s="1">
        <v>44874</v>
      </c>
      <c r="H356" t="s">
        <v>78</v>
      </c>
      <c r="I356" t="str">
        <f>"XU"</f>
        <v>XU</v>
      </c>
      <c r="J356" t="str">
        <f>"GUORONG"</f>
        <v>GUORONG</v>
      </c>
      <c r="K356" t="str">
        <f>""</f>
        <v/>
      </c>
      <c r="L356" t="str">
        <f>"SECRETARY"</f>
        <v>SECRETARY</v>
      </c>
      <c r="M356" t="str">
        <f>"AFETNA RD IN SAN ANTONIO"</f>
        <v>AFETNA RD IN SAN ANTONIO</v>
      </c>
      <c r="N356" t="str">
        <f>"N/A"</f>
        <v>N/A</v>
      </c>
      <c r="O356" t="str">
        <f>"SAIPAN"</f>
        <v>SAIPAN</v>
      </c>
      <c r="P356" t="str">
        <f t="shared" si="221"/>
        <v>MP</v>
      </c>
      <c r="Q356" s="4" t="str">
        <f t="shared" si="223"/>
        <v>96950</v>
      </c>
      <c r="R356" t="str">
        <f t="shared" si="202"/>
        <v>UNITED STATES OF AMERICA</v>
      </c>
      <c r="S356" t="str">
        <f>""</f>
        <v/>
      </c>
      <c r="T356" s="5" t="str">
        <f>"16707889731"</f>
        <v>16707889731</v>
      </c>
      <c r="U356" t="str">
        <f>""</f>
        <v/>
      </c>
      <c r="V356" s="5" t="str">
        <f>""</f>
        <v/>
      </c>
      <c r="W356" t="str">
        <f>"palmgarden9999@gmail.com"</f>
        <v>palmgarden9999@gmail.com</v>
      </c>
      <c r="X356" t="str">
        <f>"PALM GARDEN INC."</f>
        <v>PALM GARDEN INC.</v>
      </c>
      <c r="Y356" t="str">
        <f>"HOUSE RENTAL"</f>
        <v>HOUSE RENTAL</v>
      </c>
      <c r="Z356" t="str">
        <f>"AFETNA RD IN SAN ANTONIO "</f>
        <v xml:space="preserve">AFETNA RD IN SAN ANTONIO </v>
      </c>
      <c r="AA356" t="str">
        <f>"N/A"</f>
        <v>N/A</v>
      </c>
      <c r="AB356" t="str">
        <f>"SAIPAN"</f>
        <v>SAIPAN</v>
      </c>
      <c r="AC356" t="str">
        <f t="shared" si="222"/>
        <v>MP</v>
      </c>
      <c r="AD356" t="str">
        <f t="shared" si="224"/>
        <v>96950</v>
      </c>
      <c r="AE356" t="str">
        <f t="shared" si="204"/>
        <v>UNITED STATES OF AMERICA</v>
      </c>
      <c r="AF356" t="str">
        <f>""</f>
        <v/>
      </c>
      <c r="AG356" s="4" t="str">
        <f>"16707889731"</f>
        <v>16707889731</v>
      </c>
      <c r="AH356" t="str">
        <f>""</f>
        <v/>
      </c>
      <c r="AI356" t="str">
        <f>"531110"</f>
        <v>531110</v>
      </c>
      <c r="AJ356" t="s">
        <v>79</v>
      </c>
      <c r="AK356" t="s">
        <v>79</v>
      </c>
      <c r="AL356" t="s">
        <v>80</v>
      </c>
      <c r="AM356" t="s">
        <v>79</v>
      </c>
      <c r="AP356" t="str">
        <f>"HOUSE MAINTENANCE"</f>
        <v>HOUSE MAINTENANCE</v>
      </c>
      <c r="AQ356" t="str">
        <f>"49-9071.00"</f>
        <v>49-9071.00</v>
      </c>
      <c r="AR356" t="str">
        <f>"Maintenance and Repair Workers, General"</f>
        <v>Maintenance and Repair Workers, General</v>
      </c>
      <c r="AS356" t="str">
        <f>"MANAGER "</f>
        <v xml:space="preserve">MANAGER </v>
      </c>
      <c r="AT356" t="s">
        <v>79</v>
      </c>
      <c r="AU356" t="str">
        <f>""</f>
        <v/>
      </c>
      <c r="AV356" t="str">
        <f>""</f>
        <v/>
      </c>
      <c r="AW356" t="s">
        <v>79</v>
      </c>
      <c r="AX356" t="str">
        <f>""</f>
        <v/>
      </c>
      <c r="AY356" t="s">
        <v>81</v>
      </c>
      <c r="BA356" t="s">
        <v>80</v>
      </c>
      <c r="BB356" t="s">
        <v>79</v>
      </c>
      <c r="BD356" t="s">
        <v>79</v>
      </c>
      <c r="BG356" t="s">
        <v>82</v>
      </c>
      <c r="BH356">
        <v>24</v>
      </c>
      <c r="BI356" t="s">
        <v>716</v>
      </c>
      <c r="BJ356" t="s">
        <v>717</v>
      </c>
      <c r="BK356" t="str">
        <f>"AFETNA RD IN SAN ANTONIO"</f>
        <v>AFETNA RD IN SAN ANTONIO</v>
      </c>
      <c r="BL356" t="str">
        <f>"N/A"</f>
        <v>N/A</v>
      </c>
      <c r="BM356" t="str">
        <f>"SAIPAN"</f>
        <v>SAIPAN</v>
      </c>
      <c r="BO356" t="s">
        <v>83</v>
      </c>
      <c r="BP356" s="4" t="str">
        <f t="shared" si="225"/>
        <v>96950</v>
      </c>
      <c r="BQ356" t="s">
        <v>79</v>
      </c>
      <c r="BR356" t="str">
        <f>"49-9071.00"</f>
        <v>49-9071.00</v>
      </c>
      <c r="BS356" t="s">
        <v>146</v>
      </c>
      <c r="BT356" s="3">
        <v>9.19</v>
      </c>
      <c r="BU356" t="s">
        <v>80</v>
      </c>
      <c r="BV356" t="s">
        <v>90</v>
      </c>
      <c r="BW356" t="s">
        <v>92</v>
      </c>
      <c r="BZ356" s="1">
        <v>45107</v>
      </c>
    </row>
    <row r="357" spans="1:78" ht="15" customHeight="1" x14ac:dyDescent="0.25">
      <c r="A357" t="s">
        <v>718</v>
      </c>
      <c r="B357" t="s">
        <v>94</v>
      </c>
      <c r="C357" s="1">
        <v>44833</v>
      </c>
      <c r="D357" s="1">
        <v>44874</v>
      </c>
      <c r="H357" t="s">
        <v>78</v>
      </c>
      <c r="I357" t="str">
        <f>"VILLAGOMEZ"</f>
        <v>VILLAGOMEZ</v>
      </c>
      <c r="J357" t="str">
        <f>"RELL"</f>
        <v>RELL</v>
      </c>
      <c r="K357" t="str">
        <f>"ALBUEN"</f>
        <v>ALBUEN</v>
      </c>
      <c r="L357" t="str">
        <f>"MANAGER"</f>
        <v>MANAGER</v>
      </c>
      <c r="M357" t="str">
        <f>"P.O. BOX 501540, DANDAN ROAD"</f>
        <v>P.O. BOX 501540, DANDAN ROAD</v>
      </c>
      <c r="N357" t="str">
        <f>"DANDAN VILLAGE"</f>
        <v>DANDAN VILLAGE</v>
      </c>
      <c r="O357" t="str">
        <f>"SAIPAN"</f>
        <v>SAIPAN</v>
      </c>
      <c r="P357" t="str">
        <f t="shared" si="221"/>
        <v>MP</v>
      </c>
      <c r="Q357" s="4" t="str">
        <f t="shared" si="223"/>
        <v>96950</v>
      </c>
      <c r="R357" t="str">
        <f t="shared" si="202"/>
        <v>UNITED STATES OF AMERICA</v>
      </c>
      <c r="S357" t="str">
        <f>"MP"</f>
        <v>MP</v>
      </c>
      <c r="T357" s="5" t="str">
        <f>"16702888288"</f>
        <v>16702888288</v>
      </c>
      <c r="U357" t="str">
        <f>""</f>
        <v/>
      </c>
      <c r="V357" s="5" t="str">
        <f>""</f>
        <v/>
      </c>
      <c r="W357" t="str">
        <f>"mlfllc@yahoo.com"</f>
        <v>mlfllc@yahoo.com</v>
      </c>
      <c r="X357" t="str">
        <f>"MLF LLC"</f>
        <v>MLF LLC</v>
      </c>
      <c r="Y357" t="str">
        <f>"DANDAN BAKERY"</f>
        <v>DANDAN BAKERY</v>
      </c>
      <c r="Z357" t="str">
        <f>"P.O. BOX 501540, DANDAN ROAD"</f>
        <v>P.O. BOX 501540, DANDAN ROAD</v>
      </c>
      <c r="AA357" t="str">
        <f>"DANDAN VILLAGE"</f>
        <v>DANDAN VILLAGE</v>
      </c>
      <c r="AB357" t="str">
        <f>"SAIPAN"</f>
        <v>SAIPAN</v>
      </c>
      <c r="AC357" t="str">
        <f t="shared" si="222"/>
        <v>MP</v>
      </c>
      <c r="AD357" t="str">
        <f t="shared" si="224"/>
        <v>96950</v>
      </c>
      <c r="AE357" t="str">
        <f t="shared" si="204"/>
        <v>UNITED STATES OF AMERICA</v>
      </c>
      <c r="AF357" t="str">
        <f>"MP"</f>
        <v>MP</v>
      </c>
      <c r="AG357" s="4" t="str">
        <f>"16702888288"</f>
        <v>16702888288</v>
      </c>
      <c r="AH357" t="str">
        <f>""</f>
        <v/>
      </c>
      <c r="AI357" t="str">
        <f>"445291"</f>
        <v>445291</v>
      </c>
      <c r="AJ357" t="s">
        <v>79</v>
      </c>
      <c r="AK357" t="s">
        <v>79</v>
      </c>
      <c r="AL357" t="s">
        <v>80</v>
      </c>
      <c r="AM357" t="s">
        <v>79</v>
      </c>
      <c r="AP357" t="str">
        <f>"BAKER"</f>
        <v>BAKER</v>
      </c>
      <c r="AQ357" t="str">
        <f>"51-3011.00"</f>
        <v>51-3011.00</v>
      </c>
      <c r="AR357" t="str">
        <f>"Bakers"</f>
        <v>Bakers</v>
      </c>
      <c r="AS357" t="str">
        <f>"MANAGER"</f>
        <v>MANAGER</v>
      </c>
      <c r="AT357" t="s">
        <v>79</v>
      </c>
      <c r="AU357" t="str">
        <f>""</f>
        <v/>
      </c>
      <c r="AV357" t="str">
        <f>""</f>
        <v/>
      </c>
      <c r="AW357" t="s">
        <v>79</v>
      </c>
      <c r="AX357" t="str">
        <f>""</f>
        <v/>
      </c>
      <c r="AY357" t="s">
        <v>84</v>
      </c>
      <c r="BA357" t="s">
        <v>80</v>
      </c>
      <c r="BB357" t="s">
        <v>79</v>
      </c>
      <c r="BD357" t="s">
        <v>79</v>
      </c>
      <c r="BG357" t="s">
        <v>82</v>
      </c>
      <c r="BH357">
        <v>12</v>
      </c>
      <c r="BI357" t="s">
        <v>443</v>
      </c>
      <c r="BJ357" t="s">
        <v>719</v>
      </c>
      <c r="BK357" t="str">
        <f>"DANDAN ROAD"</f>
        <v>DANDAN ROAD</v>
      </c>
      <c r="BL357" t="str">
        <f>"DANDAN VILLAGE"</f>
        <v>DANDAN VILLAGE</v>
      </c>
      <c r="BM357" t="str">
        <f>"SAIPAN"</f>
        <v>SAIPAN</v>
      </c>
      <c r="BO357" t="s">
        <v>83</v>
      </c>
      <c r="BP357" s="4" t="str">
        <f t="shared" si="225"/>
        <v>96950</v>
      </c>
      <c r="BQ357" t="s">
        <v>79</v>
      </c>
      <c r="BR357" t="str">
        <f>"51-3011.00"</f>
        <v>51-3011.00</v>
      </c>
      <c r="BS357" t="s">
        <v>331</v>
      </c>
      <c r="BT357" s="3">
        <v>8.19</v>
      </c>
      <c r="BU357" t="s">
        <v>80</v>
      </c>
      <c r="BV357" t="s">
        <v>90</v>
      </c>
      <c r="BW357" t="s">
        <v>92</v>
      </c>
      <c r="BZ357" s="1">
        <v>45107</v>
      </c>
    </row>
    <row r="358" spans="1:78" ht="15" customHeight="1" x14ac:dyDescent="0.25">
      <c r="A358" t="s">
        <v>720</v>
      </c>
      <c r="B358" t="s">
        <v>94</v>
      </c>
      <c r="C358" s="1">
        <v>44833</v>
      </c>
      <c r="D358" s="1">
        <v>44874</v>
      </c>
      <c r="H358" t="s">
        <v>78</v>
      </c>
      <c r="I358" t="str">
        <f>"SABADO"</f>
        <v>SABADO</v>
      </c>
      <c r="J358" t="str">
        <f>"GLORIA"</f>
        <v>GLORIA</v>
      </c>
      <c r="K358" t="str">
        <f>"ABRAHAM"</f>
        <v>ABRAHAM</v>
      </c>
      <c r="L358" t="str">
        <f>"SECRETARY"</f>
        <v>SECRETARY</v>
      </c>
      <c r="M358" t="str">
        <f>"P.O. BOX 501494, BEACH ROAD"</f>
        <v>P.O. BOX 501494, BEACH ROAD</v>
      </c>
      <c r="N358" t="str">
        <f>"CHALAN LAULAU"</f>
        <v>CHALAN LAULAU</v>
      </c>
      <c r="O358" t="str">
        <f>"SAIPAN"</f>
        <v>SAIPAN</v>
      </c>
      <c r="P358" t="str">
        <f t="shared" si="221"/>
        <v>MP</v>
      </c>
      <c r="Q358" s="4" t="str">
        <f t="shared" si="223"/>
        <v>96950</v>
      </c>
      <c r="R358" t="str">
        <f t="shared" si="202"/>
        <v>UNITED STATES OF AMERICA</v>
      </c>
      <c r="S358" t="str">
        <f>"MP"</f>
        <v>MP</v>
      </c>
      <c r="T358" s="5" t="str">
        <f>"16702343041"</f>
        <v>16702343041</v>
      </c>
      <c r="U358" t="str">
        <f>""</f>
        <v/>
      </c>
      <c r="V358" s="5" t="str">
        <f>""</f>
        <v/>
      </c>
      <c r="W358" t="str">
        <f>"daystarcorporation@yahoo.com"</f>
        <v>daystarcorporation@yahoo.com</v>
      </c>
      <c r="X358" t="str">
        <f>"DAYSTAR CORPORATION"</f>
        <v>DAYSTAR CORPORATION</v>
      </c>
      <c r="Y358" t="str">
        <f>"DAYSTAR FISH STORE"</f>
        <v>DAYSTAR FISH STORE</v>
      </c>
      <c r="Z358" t="str">
        <f>"P.O. BOX 501494, BEACH ROAD"</f>
        <v>P.O. BOX 501494, BEACH ROAD</v>
      </c>
      <c r="AA358" t="str">
        <f>"CHALAN LAULAU"</f>
        <v>CHALAN LAULAU</v>
      </c>
      <c r="AB358" t="str">
        <f>"SAIPAN"</f>
        <v>SAIPAN</v>
      </c>
      <c r="AC358" t="str">
        <f t="shared" si="222"/>
        <v>MP</v>
      </c>
      <c r="AD358" t="str">
        <f t="shared" si="224"/>
        <v>96950</v>
      </c>
      <c r="AE358" t="str">
        <f t="shared" si="204"/>
        <v>UNITED STATES OF AMERICA</v>
      </c>
      <c r="AF358" t="str">
        <f>"MP"</f>
        <v>MP</v>
      </c>
      <c r="AG358" s="4" t="str">
        <f>"16702343041"</f>
        <v>16702343041</v>
      </c>
      <c r="AH358" t="str">
        <f>""</f>
        <v/>
      </c>
      <c r="AI358" t="str">
        <f>"11411"</f>
        <v>11411</v>
      </c>
      <c r="AJ358" t="s">
        <v>79</v>
      </c>
      <c r="AK358" t="s">
        <v>79</v>
      </c>
      <c r="AL358" t="s">
        <v>80</v>
      </c>
      <c r="AM358" t="s">
        <v>79</v>
      </c>
      <c r="AP358" t="str">
        <f>"SALES MANAGER"</f>
        <v>SALES MANAGER</v>
      </c>
      <c r="AQ358" t="str">
        <f>"11-2022.00"</f>
        <v>11-2022.00</v>
      </c>
      <c r="AR358" t="str">
        <f>"Sales Managers"</f>
        <v>Sales Managers</v>
      </c>
      <c r="AS358" t="str">
        <f>"PRESIDENT"</f>
        <v>PRESIDENT</v>
      </c>
      <c r="AT358" t="s">
        <v>79</v>
      </c>
      <c r="AU358" t="str">
        <f>""</f>
        <v/>
      </c>
      <c r="AV358" t="str">
        <f>""</f>
        <v/>
      </c>
      <c r="AW358" t="s">
        <v>79</v>
      </c>
      <c r="AX358" t="str">
        <f>""</f>
        <v/>
      </c>
      <c r="AY358" t="s">
        <v>84</v>
      </c>
      <c r="BA358" t="s">
        <v>80</v>
      </c>
      <c r="BB358" t="s">
        <v>79</v>
      </c>
      <c r="BD358" t="s">
        <v>79</v>
      </c>
      <c r="BG358" t="s">
        <v>82</v>
      </c>
      <c r="BH358">
        <v>12</v>
      </c>
      <c r="BI358" t="s">
        <v>721</v>
      </c>
      <c r="BJ358" t="s">
        <v>722</v>
      </c>
      <c r="BK358" t="str">
        <f>"BEACH ROAD"</f>
        <v>BEACH ROAD</v>
      </c>
      <c r="BL358" t="str">
        <f>"CHALAN LAULAU"</f>
        <v>CHALAN LAULAU</v>
      </c>
      <c r="BM358" t="str">
        <f>"SAIPAN"</f>
        <v>SAIPAN</v>
      </c>
      <c r="BO358" t="s">
        <v>83</v>
      </c>
      <c r="BP358" s="4" t="str">
        <f t="shared" si="225"/>
        <v>96950</v>
      </c>
      <c r="BQ358" t="s">
        <v>79</v>
      </c>
      <c r="BR358" t="str">
        <f>"11-2022.00"</f>
        <v>11-2022.00</v>
      </c>
      <c r="BS358" t="s">
        <v>470</v>
      </c>
      <c r="BT358" s="3">
        <v>16.7</v>
      </c>
      <c r="BU358" t="s">
        <v>80</v>
      </c>
      <c r="BV358" t="s">
        <v>90</v>
      </c>
      <c r="BW358" t="s">
        <v>92</v>
      </c>
      <c r="BZ358" s="1">
        <v>45107</v>
      </c>
    </row>
    <row r="359" spans="1:78" ht="15" customHeight="1" x14ac:dyDescent="0.25">
      <c r="A359" t="s">
        <v>723</v>
      </c>
      <c r="B359" t="s">
        <v>94</v>
      </c>
      <c r="C359" s="1">
        <v>44833</v>
      </c>
      <c r="D359" s="1">
        <v>44874</v>
      </c>
      <c r="H359" t="s">
        <v>78</v>
      </c>
      <c r="I359" t="str">
        <f>"SABADO"</f>
        <v>SABADO</v>
      </c>
      <c r="J359" t="str">
        <f>"GLORIA"</f>
        <v>GLORIA</v>
      </c>
      <c r="K359" t="str">
        <f>"ABRAHAM"</f>
        <v>ABRAHAM</v>
      </c>
      <c r="L359" t="str">
        <f>"SECRETARY"</f>
        <v>SECRETARY</v>
      </c>
      <c r="M359" t="str">
        <f>"P.O. BOX 501494, BEACH ROAD"</f>
        <v>P.O. BOX 501494, BEACH ROAD</v>
      </c>
      <c r="N359" t="str">
        <f>"CHALAN LAULAU"</f>
        <v>CHALAN LAULAU</v>
      </c>
      <c r="O359" t="str">
        <f>"SAIPAN"</f>
        <v>SAIPAN</v>
      </c>
      <c r="P359" t="str">
        <f t="shared" si="221"/>
        <v>MP</v>
      </c>
      <c r="Q359" s="4" t="str">
        <f t="shared" si="223"/>
        <v>96950</v>
      </c>
      <c r="R359" t="str">
        <f t="shared" si="202"/>
        <v>UNITED STATES OF AMERICA</v>
      </c>
      <c r="S359" t="str">
        <f>"MP"</f>
        <v>MP</v>
      </c>
      <c r="T359" s="5" t="str">
        <f>"16702343041"</f>
        <v>16702343041</v>
      </c>
      <c r="U359" t="str">
        <f>""</f>
        <v/>
      </c>
      <c r="V359" s="5" t="str">
        <f>""</f>
        <v/>
      </c>
      <c r="W359" t="str">
        <f>"daystarcorporation@yahoo.com"</f>
        <v>daystarcorporation@yahoo.com</v>
      </c>
      <c r="X359" t="str">
        <f>"DAYSTAR CORPORATION"</f>
        <v>DAYSTAR CORPORATION</v>
      </c>
      <c r="Y359" t="str">
        <f>"DAYSTAR FISH STORE"</f>
        <v>DAYSTAR FISH STORE</v>
      </c>
      <c r="Z359" t="str">
        <f>"P.O. BOX 501494, BEACH ROAD"</f>
        <v>P.O. BOX 501494, BEACH ROAD</v>
      </c>
      <c r="AA359" t="str">
        <f>"CHALAN LAULAU"</f>
        <v>CHALAN LAULAU</v>
      </c>
      <c r="AB359" t="str">
        <f>"SAIPAN"</f>
        <v>SAIPAN</v>
      </c>
      <c r="AC359" t="str">
        <f t="shared" si="222"/>
        <v>MP</v>
      </c>
      <c r="AD359" t="str">
        <f t="shared" si="224"/>
        <v>96950</v>
      </c>
      <c r="AE359" t="str">
        <f t="shared" si="204"/>
        <v>UNITED STATES OF AMERICA</v>
      </c>
      <c r="AF359" t="str">
        <f>"MP"</f>
        <v>MP</v>
      </c>
      <c r="AG359" s="4" t="str">
        <f>"16702343041"</f>
        <v>16702343041</v>
      </c>
      <c r="AH359" t="str">
        <f>""</f>
        <v/>
      </c>
      <c r="AI359" t="str">
        <f>"11411"</f>
        <v>11411</v>
      </c>
      <c r="AJ359" t="s">
        <v>79</v>
      </c>
      <c r="AK359" t="s">
        <v>79</v>
      </c>
      <c r="AL359" t="s">
        <v>80</v>
      </c>
      <c r="AM359" t="s">
        <v>79</v>
      </c>
      <c r="AP359" t="str">
        <f>"FISHERMAN"</f>
        <v>FISHERMAN</v>
      </c>
      <c r="AQ359" t="str">
        <f>"45-3031.00"</f>
        <v>45-3031.00</v>
      </c>
      <c r="AR359" t="str">
        <f>"Fishing and Hunting Workers"</f>
        <v>Fishing and Hunting Workers</v>
      </c>
      <c r="AS359" t="str">
        <f>"MANAGER"</f>
        <v>MANAGER</v>
      </c>
      <c r="AT359" t="s">
        <v>79</v>
      </c>
      <c r="AU359" t="str">
        <f>""</f>
        <v/>
      </c>
      <c r="AV359" t="str">
        <f>""</f>
        <v/>
      </c>
      <c r="AW359" t="s">
        <v>79</v>
      </c>
      <c r="AX359" t="str">
        <f>""</f>
        <v/>
      </c>
      <c r="AY359" t="s">
        <v>84</v>
      </c>
      <c r="BA359" t="s">
        <v>80</v>
      </c>
      <c r="BB359" t="s">
        <v>79</v>
      </c>
      <c r="BD359" t="s">
        <v>79</v>
      </c>
      <c r="BG359" t="s">
        <v>82</v>
      </c>
      <c r="BH359">
        <v>3</v>
      </c>
      <c r="BI359" t="s">
        <v>724</v>
      </c>
      <c r="BJ359" t="s">
        <v>725</v>
      </c>
      <c r="BK359" t="str">
        <f>"BEACH ROAD"</f>
        <v>BEACH ROAD</v>
      </c>
      <c r="BL359" t="str">
        <f>"CHALAN LAULAU"</f>
        <v>CHALAN LAULAU</v>
      </c>
      <c r="BM359" t="str">
        <f>"SAIPAN"</f>
        <v>SAIPAN</v>
      </c>
      <c r="BO359" t="s">
        <v>83</v>
      </c>
      <c r="BP359" s="4" t="str">
        <f t="shared" si="225"/>
        <v>96950</v>
      </c>
      <c r="BQ359" t="s">
        <v>79</v>
      </c>
      <c r="BR359" t="str">
        <f>"45-3031.00"</f>
        <v>45-3031.00</v>
      </c>
      <c r="BS359" t="s">
        <v>726</v>
      </c>
      <c r="BT359" s="3">
        <v>17.18</v>
      </c>
      <c r="BU359" t="s">
        <v>80</v>
      </c>
      <c r="BV359" t="s">
        <v>90</v>
      </c>
      <c r="BW359" t="s">
        <v>464</v>
      </c>
      <c r="BZ359" s="1">
        <v>45107</v>
      </c>
    </row>
    <row r="360" spans="1:78" ht="15" customHeight="1" x14ac:dyDescent="0.25">
      <c r="A360" t="s">
        <v>727</v>
      </c>
      <c r="B360" t="s">
        <v>94</v>
      </c>
      <c r="C360" s="1">
        <v>44833</v>
      </c>
      <c r="D360" s="1">
        <v>44874</v>
      </c>
      <c r="H360" t="s">
        <v>78</v>
      </c>
      <c r="I360" t="str">
        <f>"MAILMAN "</f>
        <v xml:space="preserve">MAILMAN </v>
      </c>
      <c r="J360" t="str">
        <f>"BRUCE "</f>
        <v xml:space="preserve">BRUCE </v>
      </c>
      <c r="K360" t="str">
        <f>"LEE"</f>
        <v>LEE</v>
      </c>
      <c r="L360" t="str">
        <f>"ATTORNEY "</f>
        <v xml:space="preserve">ATTORNEY </v>
      </c>
      <c r="M360" t="str">
        <f>"PMB 238 PPP BOX 10000"</f>
        <v>PMB 238 PPP BOX 10000</v>
      </c>
      <c r="N360" t="str">
        <f>"2ND FLOOR SASHA BLDG. CHALAN LAULAU"</f>
        <v>2ND FLOOR SASHA BLDG. CHALAN LAULAU</v>
      </c>
      <c r="O360" t="str">
        <f>"SAIPAN"</f>
        <v>SAIPAN</v>
      </c>
      <c r="P360" t="str">
        <f t="shared" si="221"/>
        <v>MP</v>
      </c>
      <c r="Q360" s="4" t="str">
        <f t="shared" si="223"/>
        <v>96950</v>
      </c>
      <c r="R360" t="str">
        <f t="shared" si="202"/>
        <v>UNITED STATES OF AMERICA</v>
      </c>
      <c r="S360" t="str">
        <f>""</f>
        <v/>
      </c>
      <c r="T360" s="5" t="str">
        <f>"16702330081"</f>
        <v>16702330081</v>
      </c>
      <c r="U360" t="str">
        <f>""</f>
        <v/>
      </c>
      <c r="V360" s="5" t="str">
        <f>""</f>
        <v/>
      </c>
      <c r="W360" t="str">
        <f>"bmailman@lexmarianas.com"</f>
        <v>bmailman@lexmarianas.com</v>
      </c>
      <c r="X360" t="str">
        <f>"MARIANAS DENTAL CENTER, LLC."</f>
        <v>MARIANAS DENTAL CENTER, LLC.</v>
      </c>
      <c r="Y360" t="str">
        <f>""</f>
        <v/>
      </c>
      <c r="Z360" t="str">
        <f>"TSL PLAZA 2ND FLOOR, BEACH ROAD"</f>
        <v>TSL PLAZA 2ND FLOOR, BEACH ROAD</v>
      </c>
      <c r="AA360" t="str">
        <f>"PO BOX 504699 GARAPAN"</f>
        <v>PO BOX 504699 GARAPAN</v>
      </c>
      <c r="AB360" t="str">
        <f>"SAIPAN"</f>
        <v>SAIPAN</v>
      </c>
      <c r="AC360" t="str">
        <f t="shared" si="222"/>
        <v>MP</v>
      </c>
      <c r="AD360" t="str">
        <f t="shared" si="224"/>
        <v>96950</v>
      </c>
      <c r="AE360" t="str">
        <f t="shared" si="204"/>
        <v>UNITED STATES OF AMERICA</v>
      </c>
      <c r="AF360" t="str">
        <f>""</f>
        <v/>
      </c>
      <c r="AG360" s="4" t="str">
        <f>"16702343810"</f>
        <v>16702343810</v>
      </c>
      <c r="AH360" t="str">
        <f>""</f>
        <v/>
      </c>
      <c r="AI360" t="str">
        <f>"621210"</f>
        <v>621210</v>
      </c>
      <c r="AJ360" t="s">
        <v>79</v>
      </c>
      <c r="AK360" t="s">
        <v>79</v>
      </c>
      <c r="AL360" t="s">
        <v>80</v>
      </c>
      <c r="AM360" t="s">
        <v>79</v>
      </c>
      <c r="AP360" t="str">
        <f>"DENTAL CERAMIST "</f>
        <v xml:space="preserve">DENTAL CERAMIST </v>
      </c>
      <c r="AQ360" t="str">
        <f>"51-9081.00"</f>
        <v>51-9081.00</v>
      </c>
      <c r="AR360" t="str">
        <f>"Dental Laboratory Technicians"</f>
        <v>Dental Laboratory Technicians</v>
      </c>
      <c r="AS360" t="str">
        <f>"DENTIST "</f>
        <v xml:space="preserve">DENTIST </v>
      </c>
      <c r="AT360" t="s">
        <v>79</v>
      </c>
      <c r="AU360" t="str">
        <f>""</f>
        <v/>
      </c>
      <c r="AV360" t="str">
        <f>""</f>
        <v/>
      </c>
      <c r="AW360" t="s">
        <v>79</v>
      </c>
      <c r="AX360" t="str">
        <f>""</f>
        <v/>
      </c>
      <c r="AY360" t="s">
        <v>84</v>
      </c>
      <c r="BA360" t="s">
        <v>80</v>
      </c>
      <c r="BB360" t="s">
        <v>79</v>
      </c>
      <c r="BD360" t="s">
        <v>79</v>
      </c>
      <c r="BG360" t="s">
        <v>82</v>
      </c>
      <c r="BH360">
        <v>12</v>
      </c>
      <c r="BI360" t="s">
        <v>728</v>
      </c>
      <c r="BJ360" t="s">
        <v>729</v>
      </c>
      <c r="BK360" t="str">
        <f>"TSL PLAZA, 2ND FLOOR BEACH ROAD "</f>
        <v xml:space="preserve">TSL PLAZA, 2ND FLOOR BEACH ROAD </v>
      </c>
      <c r="BL360" t="str">
        <f>"PO BOX 504699 GARAPAN"</f>
        <v>PO BOX 504699 GARAPAN</v>
      </c>
      <c r="BM360" t="str">
        <f>"SAIPAN"</f>
        <v>SAIPAN</v>
      </c>
      <c r="BO360" t="s">
        <v>83</v>
      </c>
      <c r="BP360" s="4" t="str">
        <f t="shared" si="225"/>
        <v>96950</v>
      </c>
      <c r="BQ360" t="s">
        <v>79</v>
      </c>
      <c r="BR360" t="str">
        <f>"51-9081.00"</f>
        <v>51-9081.00</v>
      </c>
      <c r="BS360" t="s">
        <v>730</v>
      </c>
      <c r="BT360" s="3">
        <v>15.47</v>
      </c>
      <c r="BU360" t="s">
        <v>80</v>
      </c>
      <c r="BV360" t="s">
        <v>90</v>
      </c>
      <c r="BW360" t="s">
        <v>265</v>
      </c>
      <c r="BZ360" s="1">
        <v>45107</v>
      </c>
    </row>
    <row r="361" spans="1:78" ht="15" customHeight="1" x14ac:dyDescent="0.25">
      <c r="A361" t="s">
        <v>731</v>
      </c>
      <c r="B361" t="s">
        <v>94</v>
      </c>
      <c r="C361" s="1">
        <v>44833</v>
      </c>
      <c r="D361" s="1">
        <v>44874</v>
      </c>
      <c r="H361" t="s">
        <v>78</v>
      </c>
      <c r="I361" t="str">
        <f>"Reyes"</f>
        <v>Reyes</v>
      </c>
      <c r="J361" t="str">
        <f>"Joseph"</f>
        <v>Joseph</v>
      </c>
      <c r="K361" t="str">
        <f>"Castro"</f>
        <v>Castro</v>
      </c>
      <c r="L361" t="str">
        <f>"Proprietor"</f>
        <v>Proprietor</v>
      </c>
      <c r="M361" t="str">
        <f>"P.O. Box 502893"</f>
        <v>P.O. Box 502893</v>
      </c>
      <c r="N361" t="str">
        <f>""</f>
        <v/>
      </c>
      <c r="O361" t="str">
        <f>"Saipan"</f>
        <v>Saipan</v>
      </c>
      <c r="P361" t="str">
        <f t="shared" si="221"/>
        <v>MP</v>
      </c>
      <c r="Q361" s="4" t="str">
        <f t="shared" si="223"/>
        <v>96950</v>
      </c>
      <c r="R361" t="str">
        <f t="shared" si="202"/>
        <v>UNITED STATES OF AMERICA</v>
      </c>
      <c r="S361" t="str">
        <f>"MP"</f>
        <v>MP</v>
      </c>
      <c r="T361" s="5" t="str">
        <f>"16702335368"</f>
        <v>16702335368</v>
      </c>
      <c r="U361" t="str">
        <f>""</f>
        <v/>
      </c>
      <c r="V361" s="5" t="str">
        <f>""</f>
        <v/>
      </c>
      <c r="W361" t="str">
        <f>"joesbarandsteakhouse@gmail.com"</f>
        <v>joesbarandsteakhouse@gmail.com</v>
      </c>
      <c r="X361" t="str">
        <f>"Joseph C Reyes"</f>
        <v>Joseph C Reyes</v>
      </c>
      <c r="Y361" t="str">
        <f>"Joe's Bar-The Steakhouse Capital"</f>
        <v>Joe's Bar-The Steakhouse Capital</v>
      </c>
      <c r="Z361" t="str">
        <f>"Beach Road San Jose"</f>
        <v>Beach Road San Jose</v>
      </c>
      <c r="AA361" t="str">
        <f>""</f>
        <v/>
      </c>
      <c r="AB361" t="str">
        <f>"Saipan"</f>
        <v>Saipan</v>
      </c>
      <c r="AC361" t="str">
        <f t="shared" si="222"/>
        <v>MP</v>
      </c>
      <c r="AD361" t="str">
        <f t="shared" si="224"/>
        <v>96950</v>
      </c>
      <c r="AE361" t="str">
        <f t="shared" si="204"/>
        <v>UNITED STATES OF AMERICA</v>
      </c>
      <c r="AF361" t="str">
        <f>"MP"</f>
        <v>MP</v>
      </c>
      <c r="AG361" s="4" t="str">
        <f>"16702335368"</f>
        <v>16702335368</v>
      </c>
      <c r="AH361" t="str">
        <f>""</f>
        <v/>
      </c>
      <c r="AI361" t="str">
        <f>"722410"</f>
        <v>722410</v>
      </c>
      <c r="AJ361" t="s">
        <v>79</v>
      </c>
      <c r="AK361" t="s">
        <v>79</v>
      </c>
      <c r="AL361" t="s">
        <v>80</v>
      </c>
      <c r="AM361" t="s">
        <v>79</v>
      </c>
      <c r="AP361" t="str">
        <f>"Bartender"</f>
        <v>Bartender</v>
      </c>
      <c r="AQ361" t="str">
        <f>"35-3011.00"</f>
        <v>35-3011.00</v>
      </c>
      <c r="AR361" t="str">
        <f>"Bartenders"</f>
        <v>Bartenders</v>
      </c>
      <c r="AS361" t="str">
        <f>"General Manager"</f>
        <v>General Manager</v>
      </c>
      <c r="AT361" t="s">
        <v>79</v>
      </c>
      <c r="AU361" t="str">
        <f>""</f>
        <v/>
      </c>
      <c r="AV361" t="str">
        <f>""</f>
        <v/>
      </c>
      <c r="AW361" t="s">
        <v>79</v>
      </c>
      <c r="AX361" t="str">
        <f>""</f>
        <v/>
      </c>
      <c r="AY361" t="s">
        <v>84</v>
      </c>
      <c r="BA361" t="s">
        <v>80</v>
      </c>
      <c r="BB361" t="s">
        <v>79</v>
      </c>
      <c r="BD361" t="s">
        <v>79</v>
      </c>
      <c r="BG361" t="s">
        <v>82</v>
      </c>
      <c r="BH361">
        <v>6</v>
      </c>
      <c r="BI361" t="s">
        <v>659</v>
      </c>
      <c r="BJ361" t="s">
        <v>732</v>
      </c>
      <c r="BK361" t="str">
        <f>"Beach Road San Jose"</f>
        <v>Beach Road San Jose</v>
      </c>
      <c r="BL361" t="str">
        <f>""</f>
        <v/>
      </c>
      <c r="BM361" t="str">
        <f>"Saipan"</f>
        <v>Saipan</v>
      </c>
      <c r="BO361" t="s">
        <v>83</v>
      </c>
      <c r="BP361" s="4" t="str">
        <f t="shared" si="225"/>
        <v>96950</v>
      </c>
      <c r="BQ361" t="s">
        <v>79</v>
      </c>
      <c r="BR361" t="str">
        <f>"35-3011.00"</f>
        <v>35-3011.00</v>
      </c>
      <c r="BS361" t="s">
        <v>661</v>
      </c>
      <c r="BT361" s="3">
        <v>8.3800000000000008</v>
      </c>
      <c r="BU361" t="s">
        <v>80</v>
      </c>
      <c r="BV361" t="s">
        <v>90</v>
      </c>
      <c r="BW361" t="s">
        <v>92</v>
      </c>
      <c r="BZ361" s="1">
        <v>45107</v>
      </c>
    </row>
    <row r="362" spans="1:78" ht="15" customHeight="1" x14ac:dyDescent="0.25">
      <c r="A362" t="s">
        <v>700</v>
      </c>
      <c r="B362" t="s">
        <v>94</v>
      </c>
      <c r="C362" s="1">
        <v>44832</v>
      </c>
      <c r="D362" s="1">
        <v>44873</v>
      </c>
      <c r="H362" t="s">
        <v>78</v>
      </c>
      <c r="I362" t="str">
        <f>"Ham"</f>
        <v>Ham</v>
      </c>
      <c r="J362" t="str">
        <f>"Jun"</f>
        <v>Jun</v>
      </c>
      <c r="K362" t="str">
        <f>""</f>
        <v/>
      </c>
      <c r="L362" t="str">
        <f>"Human Resources Manager"</f>
        <v>Human Resources Manager</v>
      </c>
      <c r="M362" t="str">
        <f>"PO Box 500066"</f>
        <v>PO Box 500066</v>
      </c>
      <c r="N362" t="str">
        <f>""</f>
        <v/>
      </c>
      <c r="O362" t="str">
        <f>"Saipan"</f>
        <v>Saipan</v>
      </c>
      <c r="P362" t="str">
        <f t="shared" si="221"/>
        <v>MP</v>
      </c>
      <c r="Q362" s="4" t="str">
        <f t="shared" si="223"/>
        <v>96950</v>
      </c>
      <c r="R362" t="str">
        <f t="shared" si="202"/>
        <v>UNITED STATES OF AMERICA</v>
      </c>
      <c r="S362" t="str">
        <f>""</f>
        <v/>
      </c>
      <c r="T362" s="5" t="str">
        <f>"16702345900"</f>
        <v>16702345900</v>
      </c>
      <c r="U362" t="str">
        <f>"574"</f>
        <v>574</v>
      </c>
      <c r="V362" s="5" t="str">
        <f>""</f>
        <v/>
      </c>
      <c r="W362" t="str">
        <f>"junham@hanwha.com"</f>
        <v>junham@hanwha.com</v>
      </c>
      <c r="X362" t="str">
        <f>"World Corporation"</f>
        <v>World Corporation</v>
      </c>
      <c r="Y362" t="str">
        <f>"Saipan World Resort"</f>
        <v>Saipan World Resort</v>
      </c>
      <c r="Z362" t="str">
        <f>"PO Box 500066"</f>
        <v>PO Box 500066</v>
      </c>
      <c r="AA362" t="str">
        <f>""</f>
        <v/>
      </c>
      <c r="AB362" t="str">
        <f>"Saipan"</f>
        <v>Saipan</v>
      </c>
      <c r="AC362" t="str">
        <f t="shared" si="222"/>
        <v>MP</v>
      </c>
      <c r="AD362" t="str">
        <f t="shared" si="224"/>
        <v>96950</v>
      </c>
      <c r="AE362" t="str">
        <f t="shared" si="204"/>
        <v>UNITED STATES OF AMERICA</v>
      </c>
      <c r="AF362" t="str">
        <f>""</f>
        <v/>
      </c>
      <c r="AG362" s="4" t="str">
        <f>"16702345900"</f>
        <v>16702345900</v>
      </c>
      <c r="AH362" t="str">
        <f>"574"</f>
        <v>574</v>
      </c>
      <c r="AI362" t="str">
        <f>"721110"</f>
        <v>721110</v>
      </c>
      <c r="AJ362" t="s">
        <v>79</v>
      </c>
      <c r="AK362" t="s">
        <v>79</v>
      </c>
      <c r="AL362" t="s">
        <v>80</v>
      </c>
      <c r="AM362" t="s">
        <v>79</v>
      </c>
      <c r="AP362" t="str">
        <f>"Cook"</f>
        <v>Cook</v>
      </c>
      <c r="AQ362" t="str">
        <f>"35-2014.00"</f>
        <v>35-2014.00</v>
      </c>
      <c r="AR362" t="str">
        <f>"Cooks, Restaurant"</f>
        <v>Cooks, Restaurant</v>
      </c>
      <c r="AS362" t="str">
        <f>"Chef de Cuisine"</f>
        <v>Chef de Cuisine</v>
      </c>
      <c r="AT362" t="s">
        <v>79</v>
      </c>
      <c r="AU362" t="str">
        <f>""</f>
        <v/>
      </c>
      <c r="AV362" t="str">
        <f>""</f>
        <v/>
      </c>
      <c r="AW362" t="s">
        <v>79</v>
      </c>
      <c r="AX362" t="str">
        <f>""</f>
        <v/>
      </c>
      <c r="AY362" t="s">
        <v>84</v>
      </c>
      <c r="BA362" t="s">
        <v>119</v>
      </c>
      <c r="BB362" t="s">
        <v>79</v>
      </c>
      <c r="BD362" t="s">
        <v>79</v>
      </c>
      <c r="BG362" t="s">
        <v>82</v>
      </c>
      <c r="BH362">
        <v>12</v>
      </c>
      <c r="BI362" t="s">
        <v>701</v>
      </c>
      <c r="BJ362" t="s">
        <v>702</v>
      </c>
      <c r="BK362" t="str">
        <f>"Beach Road Susupe"</f>
        <v>Beach Road Susupe</v>
      </c>
      <c r="BL362" t="str">
        <f>""</f>
        <v/>
      </c>
      <c r="BM362" t="str">
        <f>"Saipan"</f>
        <v>Saipan</v>
      </c>
      <c r="BO362" t="s">
        <v>83</v>
      </c>
      <c r="BP362" s="4" t="str">
        <f t="shared" si="225"/>
        <v>96950</v>
      </c>
      <c r="BQ362" t="s">
        <v>79</v>
      </c>
      <c r="BR362" t="str">
        <f>"35-2014.00"</f>
        <v>35-2014.00</v>
      </c>
      <c r="BS362" t="s">
        <v>117</v>
      </c>
      <c r="BT362" s="3">
        <v>8.5500000000000007</v>
      </c>
      <c r="BU362" t="s">
        <v>80</v>
      </c>
      <c r="BV362" t="s">
        <v>90</v>
      </c>
      <c r="BW362" t="s">
        <v>92</v>
      </c>
      <c r="BZ362" s="1">
        <v>45107</v>
      </c>
    </row>
    <row r="363" spans="1:78" ht="15" customHeight="1" x14ac:dyDescent="0.25">
      <c r="A363" t="s">
        <v>703</v>
      </c>
      <c r="B363" t="s">
        <v>94</v>
      </c>
      <c r="C363" s="1">
        <v>44832</v>
      </c>
      <c r="D363" s="1">
        <v>44873</v>
      </c>
      <c r="H363" t="s">
        <v>78</v>
      </c>
      <c r="I363" t="str">
        <f>"Ham"</f>
        <v>Ham</v>
      </c>
      <c r="J363" t="str">
        <f>"Jun"</f>
        <v>Jun</v>
      </c>
      <c r="K363" t="str">
        <f>""</f>
        <v/>
      </c>
      <c r="L363" t="str">
        <f>"Human Resources Manager"</f>
        <v>Human Resources Manager</v>
      </c>
      <c r="M363" t="str">
        <f>"PO Box 500066"</f>
        <v>PO Box 500066</v>
      </c>
      <c r="N363" t="str">
        <f>""</f>
        <v/>
      </c>
      <c r="O363" t="str">
        <f>"Saipan"</f>
        <v>Saipan</v>
      </c>
      <c r="P363" t="str">
        <f t="shared" si="221"/>
        <v>MP</v>
      </c>
      <c r="Q363" s="4" t="str">
        <f t="shared" si="223"/>
        <v>96950</v>
      </c>
      <c r="R363" t="str">
        <f t="shared" si="202"/>
        <v>UNITED STATES OF AMERICA</v>
      </c>
      <c r="S363" t="str">
        <f>""</f>
        <v/>
      </c>
      <c r="T363" s="5" t="str">
        <f>"16702345900"</f>
        <v>16702345900</v>
      </c>
      <c r="U363" t="str">
        <f>"574"</f>
        <v>574</v>
      </c>
      <c r="V363" s="5" t="str">
        <f>""</f>
        <v/>
      </c>
      <c r="W363" t="str">
        <f>"junham@hanwha.com"</f>
        <v>junham@hanwha.com</v>
      </c>
      <c r="X363" t="str">
        <f>"World Corporation"</f>
        <v>World Corporation</v>
      </c>
      <c r="Y363" t="str">
        <f>"Saipan World Resort"</f>
        <v>Saipan World Resort</v>
      </c>
      <c r="Z363" t="str">
        <f>"PO Box 500066"</f>
        <v>PO Box 500066</v>
      </c>
      <c r="AA363" t="str">
        <f>""</f>
        <v/>
      </c>
      <c r="AB363" t="str">
        <f>"Saipan"</f>
        <v>Saipan</v>
      </c>
      <c r="AC363" t="str">
        <f t="shared" si="222"/>
        <v>MP</v>
      </c>
      <c r="AD363" t="str">
        <f t="shared" si="224"/>
        <v>96950</v>
      </c>
      <c r="AE363" t="str">
        <f t="shared" si="204"/>
        <v>UNITED STATES OF AMERICA</v>
      </c>
      <c r="AF363" t="str">
        <f>""</f>
        <v/>
      </c>
      <c r="AG363" s="4" t="str">
        <f>"16702345900"</f>
        <v>16702345900</v>
      </c>
      <c r="AH363" t="str">
        <f>"574"</f>
        <v>574</v>
      </c>
      <c r="AI363" t="str">
        <f>"721110"</f>
        <v>721110</v>
      </c>
      <c r="AJ363" t="s">
        <v>79</v>
      </c>
      <c r="AK363" t="s">
        <v>79</v>
      </c>
      <c r="AL363" t="s">
        <v>80</v>
      </c>
      <c r="AM363" t="s">
        <v>79</v>
      </c>
      <c r="AP363" t="str">
        <f>"Housekeeping Attendant"</f>
        <v>Housekeeping Attendant</v>
      </c>
      <c r="AQ363" t="str">
        <f>"37-2012.00"</f>
        <v>37-2012.00</v>
      </c>
      <c r="AR363" t="str">
        <f>"Maids and Housekeeping Cleaners"</f>
        <v>Maids and Housekeeping Cleaners</v>
      </c>
      <c r="AS363" t="str">
        <f>"Housekeeping Supervisor"</f>
        <v>Housekeeping Supervisor</v>
      </c>
      <c r="AT363" t="s">
        <v>79</v>
      </c>
      <c r="AU363" t="str">
        <f>""</f>
        <v/>
      </c>
      <c r="AV363" t="str">
        <f>""</f>
        <v/>
      </c>
      <c r="AW363" t="s">
        <v>79</v>
      </c>
      <c r="AX363" t="str">
        <f>""</f>
        <v/>
      </c>
      <c r="AY363" t="s">
        <v>84</v>
      </c>
      <c r="BA363" t="s">
        <v>119</v>
      </c>
      <c r="BB363" t="s">
        <v>79</v>
      </c>
      <c r="BD363" t="s">
        <v>79</v>
      </c>
      <c r="BG363" t="s">
        <v>82</v>
      </c>
      <c r="BH363">
        <v>3</v>
      </c>
      <c r="BI363" t="s">
        <v>704</v>
      </c>
      <c r="BJ363" t="s">
        <v>119</v>
      </c>
      <c r="BK363" t="str">
        <f>"Beach Road Susupe"</f>
        <v>Beach Road Susupe</v>
      </c>
      <c r="BL363" t="str">
        <f>""</f>
        <v/>
      </c>
      <c r="BM363" t="str">
        <f>"Saipan"</f>
        <v>Saipan</v>
      </c>
      <c r="BO363" t="s">
        <v>83</v>
      </c>
      <c r="BP363" s="4" t="str">
        <f t="shared" si="225"/>
        <v>96950</v>
      </c>
      <c r="BQ363" t="s">
        <v>79</v>
      </c>
      <c r="BR363" t="str">
        <f>"37-2012.00"</f>
        <v>37-2012.00</v>
      </c>
      <c r="BS363" t="s">
        <v>109</v>
      </c>
      <c r="BT363" s="3">
        <v>7.56</v>
      </c>
      <c r="BU363" t="s">
        <v>80</v>
      </c>
      <c r="BV363" t="s">
        <v>90</v>
      </c>
      <c r="BW363" t="s">
        <v>92</v>
      </c>
      <c r="BZ363" s="1">
        <v>45107</v>
      </c>
    </row>
    <row r="364" spans="1:78" ht="15" customHeight="1" x14ac:dyDescent="0.25">
      <c r="A364" t="s">
        <v>655</v>
      </c>
      <c r="B364" t="s">
        <v>94</v>
      </c>
      <c r="C364" s="1">
        <v>44831</v>
      </c>
      <c r="D364" s="1">
        <v>44873</v>
      </c>
      <c r="H364" t="s">
        <v>78</v>
      </c>
      <c r="I364" t="str">
        <f>"MARFEGA"</f>
        <v>MARFEGA</v>
      </c>
      <c r="J364" t="str">
        <f>"NORMA"</f>
        <v>NORMA</v>
      </c>
      <c r="K364" t="str">
        <f>"MARILAG"</f>
        <v>MARILAG</v>
      </c>
      <c r="L364" t="str">
        <f>"PRESIDENT"</f>
        <v>PRESIDENT</v>
      </c>
      <c r="M364" t="str">
        <f>"AIRPORT ROAD, DANDAN VILLAGE"</f>
        <v>AIRPORT ROAD, DANDAN VILLAGE</v>
      </c>
      <c r="N364" t="str">
        <f>"PO BOX 502356"</f>
        <v>PO BOX 502356</v>
      </c>
      <c r="O364" t="str">
        <f>"SAIPAN"</f>
        <v>SAIPAN</v>
      </c>
      <c r="P364" t="str">
        <f t="shared" si="221"/>
        <v>MP</v>
      </c>
      <c r="Q364" s="4" t="str">
        <f t="shared" si="223"/>
        <v>96950</v>
      </c>
      <c r="R364" t="str">
        <f t="shared" si="202"/>
        <v>UNITED STATES OF AMERICA</v>
      </c>
      <c r="S364" t="str">
        <f>"MP"</f>
        <v>MP</v>
      </c>
      <c r="T364" s="5" t="str">
        <f>"16702880373"</f>
        <v>16702880373</v>
      </c>
      <c r="U364" t="str">
        <f>""</f>
        <v/>
      </c>
      <c r="V364" s="5" t="str">
        <f>""</f>
        <v/>
      </c>
      <c r="W364" t="str">
        <f>"islander@pticom.com"</f>
        <v>islander@pticom.com</v>
      </c>
      <c r="X364" t="str">
        <f>"MARFEGA TRADING CO., INC."</f>
        <v>MARFEGA TRADING CO., INC.</v>
      </c>
      <c r="Y364" t="str">
        <f>"ISLANDER RENT A CAR"</f>
        <v>ISLANDER RENT A CAR</v>
      </c>
      <c r="Z364" t="str">
        <f>"AIRPORT ROAD, DANDAN VILLAGE"</f>
        <v>AIRPORT ROAD, DANDAN VILLAGE</v>
      </c>
      <c r="AA364" t="str">
        <f>"PO BOX 502356"</f>
        <v>PO BOX 502356</v>
      </c>
      <c r="AB364" t="str">
        <f>"SAIPAN"</f>
        <v>SAIPAN</v>
      </c>
      <c r="AC364" t="str">
        <f t="shared" si="222"/>
        <v>MP</v>
      </c>
      <c r="AD364" t="str">
        <f t="shared" si="224"/>
        <v>96950</v>
      </c>
      <c r="AE364" t="str">
        <f t="shared" si="204"/>
        <v>UNITED STATES OF AMERICA</v>
      </c>
      <c r="AF364" t="str">
        <f>"MP"</f>
        <v>MP</v>
      </c>
      <c r="AG364" s="4" t="str">
        <f>"16702880373"</f>
        <v>16702880373</v>
      </c>
      <c r="AH364" t="str">
        <f>""</f>
        <v/>
      </c>
      <c r="AI364" t="str">
        <f>"532111"</f>
        <v>532111</v>
      </c>
      <c r="AJ364" t="s">
        <v>79</v>
      </c>
      <c r="AK364" t="s">
        <v>79</v>
      </c>
      <c r="AL364" t="s">
        <v>80</v>
      </c>
      <c r="AM364" t="s">
        <v>79</v>
      </c>
      <c r="AP364" t="str">
        <f>"GRAPHIC DESIGNER"</f>
        <v>GRAPHIC DESIGNER</v>
      </c>
      <c r="AQ364" t="str">
        <f>"27-1024.00"</f>
        <v>27-1024.00</v>
      </c>
      <c r="AR364" t="str">
        <f>"Graphic Designers"</f>
        <v>Graphic Designers</v>
      </c>
      <c r="AS364" t="str">
        <f>"SALES &amp; MARKETING MANAGER"</f>
        <v>SALES &amp; MARKETING MANAGER</v>
      </c>
      <c r="AT364" t="s">
        <v>79</v>
      </c>
      <c r="AU364" t="str">
        <f>""</f>
        <v/>
      </c>
      <c r="AV364" t="str">
        <f>""</f>
        <v/>
      </c>
      <c r="AW364" t="s">
        <v>79</v>
      </c>
      <c r="AX364" t="str">
        <f>""</f>
        <v/>
      </c>
      <c r="AY364" t="s">
        <v>84</v>
      </c>
      <c r="BA364" t="s">
        <v>80</v>
      </c>
      <c r="BB364" t="s">
        <v>79</v>
      </c>
      <c r="BD364" t="s">
        <v>79</v>
      </c>
      <c r="BG364" t="s">
        <v>82</v>
      </c>
      <c r="BH364">
        <v>12</v>
      </c>
      <c r="BI364" t="s">
        <v>656</v>
      </c>
      <c r="BJ364" t="s">
        <v>657</v>
      </c>
      <c r="BK364" t="str">
        <f>"AIRPORT ROAD, DANDAN VILLAGE"</f>
        <v>AIRPORT ROAD, DANDAN VILLAGE</v>
      </c>
      <c r="BL364" t="str">
        <f>"PO BOX 502356"</f>
        <v>PO BOX 502356</v>
      </c>
      <c r="BM364" t="str">
        <f>"SAIPAN"</f>
        <v>SAIPAN</v>
      </c>
      <c r="BO364" t="s">
        <v>83</v>
      </c>
      <c r="BP364" s="4" t="str">
        <f t="shared" si="225"/>
        <v>96950</v>
      </c>
      <c r="BQ364" t="s">
        <v>79</v>
      </c>
      <c r="BR364" t="str">
        <f>"27-1024.00"</f>
        <v>27-1024.00</v>
      </c>
      <c r="BS364" t="s">
        <v>512</v>
      </c>
      <c r="BT364" s="3">
        <v>10.18</v>
      </c>
      <c r="BU364" t="s">
        <v>80</v>
      </c>
      <c r="BV364" t="s">
        <v>90</v>
      </c>
      <c r="BW364" t="s">
        <v>92</v>
      </c>
      <c r="BZ364" s="1">
        <v>45107</v>
      </c>
    </row>
    <row r="365" spans="1:78" ht="15" customHeight="1" x14ac:dyDescent="0.25">
      <c r="A365" t="s">
        <v>658</v>
      </c>
      <c r="B365" t="s">
        <v>94</v>
      </c>
      <c r="C365" s="1">
        <v>44831</v>
      </c>
      <c r="D365" s="1">
        <v>44873</v>
      </c>
      <c r="H365" t="s">
        <v>78</v>
      </c>
      <c r="I365" t="str">
        <f>"Orallo"</f>
        <v>Orallo</v>
      </c>
      <c r="J365" t="str">
        <f>"Camille"</f>
        <v>Camille</v>
      </c>
      <c r="K365" t="str">
        <f>""</f>
        <v/>
      </c>
      <c r="L365" t="str">
        <f>"Human Resources Officer"</f>
        <v>Human Resources Officer</v>
      </c>
      <c r="M365" t="str">
        <f>"2nd Floor, POI Building-GSE Area"</f>
        <v>2nd Floor, POI Building-GSE Area</v>
      </c>
      <c r="N365" t="str">
        <f>"International Terminal Lp, I'fadang Village"</f>
        <v>International Terminal Lp, I'fadang Village</v>
      </c>
      <c r="O365" t="str">
        <f>"Saipan"</f>
        <v>Saipan</v>
      </c>
      <c r="P365" t="str">
        <f t="shared" si="221"/>
        <v>MP</v>
      </c>
      <c r="Q365" s="4" t="str">
        <f t="shared" si="223"/>
        <v>96950</v>
      </c>
      <c r="R365" t="str">
        <f t="shared" si="202"/>
        <v>UNITED STATES OF AMERICA</v>
      </c>
      <c r="S365" t="str">
        <f>""</f>
        <v/>
      </c>
      <c r="T365" s="5" t="str">
        <f>"16702852190"</f>
        <v>16702852190</v>
      </c>
      <c r="U365" t="str">
        <f>""</f>
        <v/>
      </c>
      <c r="V365" s="5" t="str">
        <f>""</f>
        <v/>
      </c>
      <c r="W365" t="str">
        <f>"camille.orallo@saipan.travel"</f>
        <v>camille.orallo@saipan.travel</v>
      </c>
      <c r="X365" t="str">
        <f>"Asia Pacific Hotels Inc."</f>
        <v>Asia Pacific Hotels Inc.</v>
      </c>
      <c r="Y365" t="str">
        <f>"Century Hotel"</f>
        <v>Century Hotel</v>
      </c>
      <c r="Z365" t="str">
        <f>"7325 Century Hotel Bld, Chalan Pali Arnold Rd, Garapan Vill"</f>
        <v>7325 Century Hotel Bld, Chalan Pali Arnold Rd, Garapan Vill</v>
      </c>
      <c r="AA365" t="str">
        <f>"P.O. Box 10000 PMB 1028 PPP"</f>
        <v>P.O. Box 10000 PMB 1028 PPP</v>
      </c>
      <c r="AB365" t="str">
        <f>"Saipan"</f>
        <v>Saipan</v>
      </c>
      <c r="AC365" t="str">
        <f t="shared" si="222"/>
        <v>MP</v>
      </c>
      <c r="AD365" t="str">
        <f t="shared" si="224"/>
        <v>96950</v>
      </c>
      <c r="AE365" t="str">
        <f t="shared" si="204"/>
        <v>UNITED STATES OF AMERICA</v>
      </c>
      <c r="AF365" t="str">
        <f>""</f>
        <v/>
      </c>
      <c r="AG365" s="4" t="str">
        <f>"16702331420"</f>
        <v>16702331420</v>
      </c>
      <c r="AH365" t="str">
        <f>""</f>
        <v/>
      </c>
      <c r="AI365" t="str">
        <f>"72111"</f>
        <v>72111</v>
      </c>
      <c r="AJ365" t="s">
        <v>79</v>
      </c>
      <c r="AK365" t="s">
        <v>79</v>
      </c>
      <c r="AL365" t="s">
        <v>80</v>
      </c>
      <c r="AM365" t="s">
        <v>79</v>
      </c>
      <c r="AP365" t="str">
        <f>"Bartender"</f>
        <v>Bartender</v>
      </c>
      <c r="AQ365" t="str">
        <f>"35-3011.00"</f>
        <v>35-3011.00</v>
      </c>
      <c r="AR365" t="str">
        <f>"Bartenders"</f>
        <v>Bartenders</v>
      </c>
      <c r="AS365" t="str">
        <f>"Operations Manager"</f>
        <v>Operations Manager</v>
      </c>
      <c r="AT365" t="s">
        <v>79</v>
      </c>
      <c r="AU365" t="str">
        <f>""</f>
        <v/>
      </c>
      <c r="AV365" t="str">
        <f>""</f>
        <v/>
      </c>
      <c r="AW365" t="s">
        <v>79</v>
      </c>
      <c r="AX365" t="str">
        <f>""</f>
        <v/>
      </c>
      <c r="AY365" t="s">
        <v>84</v>
      </c>
      <c r="BA365" t="s">
        <v>80</v>
      </c>
      <c r="BB365" t="s">
        <v>79</v>
      </c>
      <c r="BD365" t="s">
        <v>79</v>
      </c>
      <c r="BG365" t="s">
        <v>82</v>
      </c>
      <c r="BH365">
        <v>12</v>
      </c>
      <c r="BI365" t="s">
        <v>659</v>
      </c>
      <c r="BJ365" t="s">
        <v>660</v>
      </c>
      <c r="BK365" t="str">
        <f>"7325 Century Hotel Bld, Chalan Pali Arnold Rd, Garapan Vill"</f>
        <v>7325 Century Hotel Bld, Chalan Pali Arnold Rd, Garapan Vill</v>
      </c>
      <c r="BL365" t="str">
        <f>"P.O. Box 10000 PMB 1028 PPP"</f>
        <v>P.O. Box 10000 PMB 1028 PPP</v>
      </c>
      <c r="BM365" t="str">
        <f>"Saipan"</f>
        <v>Saipan</v>
      </c>
      <c r="BO365" t="s">
        <v>83</v>
      </c>
      <c r="BP365" s="4" t="str">
        <f t="shared" si="225"/>
        <v>96950</v>
      </c>
      <c r="BQ365" t="s">
        <v>79</v>
      </c>
      <c r="BR365" t="str">
        <f>"35-3011.00"</f>
        <v>35-3011.00</v>
      </c>
      <c r="BS365" t="s">
        <v>661</v>
      </c>
      <c r="BT365" s="3">
        <v>8.3800000000000008</v>
      </c>
      <c r="BU365" t="s">
        <v>80</v>
      </c>
      <c r="BV365" t="s">
        <v>90</v>
      </c>
      <c r="BW365" t="s">
        <v>92</v>
      </c>
      <c r="BZ365" s="1">
        <v>45107</v>
      </c>
    </row>
    <row r="366" spans="1:78" ht="15" customHeight="1" x14ac:dyDescent="0.25">
      <c r="A366" t="s">
        <v>662</v>
      </c>
      <c r="B366" t="s">
        <v>94</v>
      </c>
      <c r="C366" s="1">
        <v>44831</v>
      </c>
      <c r="D366" s="1">
        <v>44873</v>
      </c>
      <c r="H366" t="s">
        <v>78</v>
      </c>
      <c r="I366" t="str">
        <f>"Batallones"</f>
        <v>Batallones</v>
      </c>
      <c r="J366" t="str">
        <f>"Renato"</f>
        <v>Renato</v>
      </c>
      <c r="K366" t="str">
        <f>"Prado"</f>
        <v>Prado</v>
      </c>
      <c r="L366" t="str">
        <f>"President"</f>
        <v>President</v>
      </c>
      <c r="M366" t="str">
        <f>"P.O. BOX 504029"</f>
        <v>P.O. BOX 504029</v>
      </c>
      <c r="N366" t="str">
        <f>""</f>
        <v/>
      </c>
      <c r="O366" t="str">
        <f>"SAIPAN"</f>
        <v>SAIPAN</v>
      </c>
      <c r="P366" t="str">
        <f t="shared" si="221"/>
        <v>MP</v>
      </c>
      <c r="Q366" s="4" t="str">
        <f t="shared" si="223"/>
        <v>96950</v>
      </c>
      <c r="R366" t="str">
        <f t="shared" si="202"/>
        <v>UNITED STATES OF AMERICA</v>
      </c>
      <c r="S366" t="str">
        <f>""</f>
        <v/>
      </c>
      <c r="T366" s="5" t="str">
        <f>"16707882869"</f>
        <v>16707882869</v>
      </c>
      <c r="U366" t="str">
        <f>""</f>
        <v/>
      </c>
      <c r="V366" s="5" t="str">
        <f>""</f>
        <v/>
      </c>
      <c r="W366" t="str">
        <f>"uer.saipan@gmail.com"</f>
        <v>uer.saipan@gmail.com</v>
      </c>
      <c r="X366" t="str">
        <f>"United Equipment Rental Company Corporation"</f>
        <v>United Equipment Rental Company Corporation</v>
      </c>
      <c r="Y366" t="str">
        <f>""</f>
        <v/>
      </c>
      <c r="Z366" t="str">
        <f>"P.O. BOX 504029"</f>
        <v>P.O. BOX 504029</v>
      </c>
      <c r="AA366" t="str">
        <f>""</f>
        <v/>
      </c>
      <c r="AB366" t="str">
        <f>"Saipan"</f>
        <v>Saipan</v>
      </c>
      <c r="AC366" t="str">
        <f t="shared" si="222"/>
        <v>MP</v>
      </c>
      <c r="AD366" t="str">
        <f t="shared" si="224"/>
        <v>96950</v>
      </c>
      <c r="AE366" t="str">
        <f t="shared" si="204"/>
        <v>UNITED STATES OF AMERICA</v>
      </c>
      <c r="AF366" t="str">
        <f>""</f>
        <v/>
      </c>
      <c r="AG366" s="4" t="str">
        <f>"16702331199"</f>
        <v>16702331199</v>
      </c>
      <c r="AH366" t="str">
        <f>""</f>
        <v/>
      </c>
      <c r="AI366" t="str">
        <f>"5323"</f>
        <v>5323</v>
      </c>
      <c r="AJ366" t="s">
        <v>79</v>
      </c>
      <c r="AK366" t="s">
        <v>79</v>
      </c>
      <c r="AL366" t="s">
        <v>80</v>
      </c>
      <c r="AM366" t="s">
        <v>79</v>
      </c>
      <c r="AP366" t="str">
        <f>"Operating Engineers and Other Construction  Equipment  Opera"</f>
        <v>Operating Engineers and Other Construction  Equipment  Opera</v>
      </c>
      <c r="AQ366" t="str">
        <f>"47-2073.00"</f>
        <v>47-2073.00</v>
      </c>
      <c r="AR366" t="str">
        <f>"Operating Engineers and Other Construction Equipment Operators"</f>
        <v>Operating Engineers and Other Construction Equipment Operators</v>
      </c>
      <c r="AS366" t="str">
        <f>"Manager"</f>
        <v>Manager</v>
      </c>
      <c r="AT366" t="s">
        <v>79</v>
      </c>
      <c r="AU366" t="str">
        <f>""</f>
        <v/>
      </c>
      <c r="AV366" t="str">
        <f>""</f>
        <v/>
      </c>
      <c r="AW366" t="s">
        <v>79</v>
      </c>
      <c r="AX366" t="str">
        <f>""</f>
        <v/>
      </c>
      <c r="AY366" t="s">
        <v>84</v>
      </c>
      <c r="BA366" t="s">
        <v>80</v>
      </c>
      <c r="BB366" t="s">
        <v>79</v>
      </c>
      <c r="BD366" t="s">
        <v>79</v>
      </c>
      <c r="BG366" t="s">
        <v>82</v>
      </c>
      <c r="BH366">
        <v>12</v>
      </c>
      <c r="BI366" t="s">
        <v>663</v>
      </c>
      <c r="BJ366" t="s">
        <v>664</v>
      </c>
      <c r="BK366" t="str">
        <f>"Salvinia Ln. Lower Base "</f>
        <v xml:space="preserve">Salvinia Ln. Lower Base </v>
      </c>
      <c r="BL366" t="str">
        <f>""</f>
        <v/>
      </c>
      <c r="BM366" t="str">
        <f>"Saipan "</f>
        <v xml:space="preserve">Saipan </v>
      </c>
      <c r="BO366" t="s">
        <v>83</v>
      </c>
      <c r="BP366" s="4" t="str">
        <f t="shared" si="225"/>
        <v>96950</v>
      </c>
      <c r="BQ366" t="s">
        <v>79</v>
      </c>
      <c r="BR366" t="str">
        <f>"47-2073.00"</f>
        <v>47-2073.00</v>
      </c>
      <c r="BS366" t="s">
        <v>609</v>
      </c>
      <c r="BT366" s="3">
        <v>10.23</v>
      </c>
      <c r="BU366" t="s">
        <v>80</v>
      </c>
      <c r="BV366" t="s">
        <v>90</v>
      </c>
      <c r="BW366" t="s">
        <v>92</v>
      </c>
      <c r="BZ366" s="1">
        <v>45107</v>
      </c>
    </row>
    <row r="367" spans="1:78" ht="15" customHeight="1" x14ac:dyDescent="0.25">
      <c r="A367" t="s">
        <v>668</v>
      </c>
      <c r="B367" t="s">
        <v>94</v>
      </c>
      <c r="C367" s="1">
        <v>44831</v>
      </c>
      <c r="D367" s="1">
        <v>44873</v>
      </c>
      <c r="H367" t="s">
        <v>78</v>
      </c>
      <c r="I367" t="str">
        <f>"ZHANG"</f>
        <v>ZHANG</v>
      </c>
      <c r="J367" t="str">
        <f>"HUAYING"</f>
        <v>HUAYING</v>
      </c>
      <c r="K367" t="str">
        <f>""</f>
        <v/>
      </c>
      <c r="L367" t="str">
        <f>"PRESIDENT"</f>
        <v>PRESIDENT</v>
      </c>
      <c r="M367" t="str">
        <f>"PASEO DE MARIANAS, GARAPAN"</f>
        <v>PASEO DE MARIANAS, GARAPAN</v>
      </c>
      <c r="N367" t="str">
        <f>""</f>
        <v/>
      </c>
      <c r="O367" t="str">
        <f>"SAIPAN"</f>
        <v>SAIPAN</v>
      </c>
      <c r="P367" t="str">
        <f t="shared" si="221"/>
        <v>MP</v>
      </c>
      <c r="Q367" s="4" t="str">
        <f t="shared" si="223"/>
        <v>96950</v>
      </c>
      <c r="R367" t="str">
        <f t="shared" si="202"/>
        <v>UNITED STATES OF AMERICA</v>
      </c>
      <c r="S367" t="str">
        <f>""</f>
        <v/>
      </c>
      <c r="T367" s="5" t="str">
        <f>"16702331818"</f>
        <v>16702331818</v>
      </c>
      <c r="U367" t="str">
        <f>""</f>
        <v/>
      </c>
      <c r="V367" s="5" t="str">
        <f>""</f>
        <v/>
      </c>
      <c r="W367" t="str">
        <f>"HANAMITSUHOTEL@GMAIL.COM"</f>
        <v>HANAMITSUHOTEL@GMAIL.COM</v>
      </c>
      <c r="X367" t="str">
        <f>"Amy International Corporation"</f>
        <v>Amy International Corporation</v>
      </c>
      <c r="Y367" t="str">
        <f>"HANAMITSU HOTEL &amp; SPA"</f>
        <v>HANAMITSU HOTEL &amp; SPA</v>
      </c>
      <c r="Z367" t="str">
        <f>"PASEO DE MARIANAS GARAPAN"</f>
        <v>PASEO DE MARIANAS GARAPAN</v>
      </c>
      <c r="AA367" t="str">
        <f>""</f>
        <v/>
      </c>
      <c r="AB367" t="str">
        <f>"SAIPAN"</f>
        <v>SAIPAN</v>
      </c>
      <c r="AC367" t="str">
        <f t="shared" si="222"/>
        <v>MP</v>
      </c>
      <c r="AD367" t="str">
        <f t="shared" si="224"/>
        <v>96950</v>
      </c>
      <c r="AE367" t="str">
        <f t="shared" si="204"/>
        <v>UNITED STATES OF AMERICA</v>
      </c>
      <c r="AF367" t="str">
        <f>""</f>
        <v/>
      </c>
      <c r="AG367" s="4" t="str">
        <f>"16702331818"</f>
        <v>16702331818</v>
      </c>
      <c r="AH367" t="str">
        <f>""</f>
        <v/>
      </c>
      <c r="AI367" t="str">
        <f>"812112"</f>
        <v>812112</v>
      </c>
      <c r="AJ367" t="s">
        <v>79</v>
      </c>
      <c r="AK367" t="s">
        <v>79</v>
      </c>
      <c r="AL367" t="s">
        <v>80</v>
      </c>
      <c r="AM367" t="s">
        <v>79</v>
      </c>
      <c r="AP367" t="str">
        <f>"COSMETOLOGIST"</f>
        <v>COSMETOLOGIST</v>
      </c>
      <c r="AQ367" t="str">
        <f>""</f>
        <v/>
      </c>
      <c r="AR367" t="str">
        <f>""</f>
        <v/>
      </c>
      <c r="AS367" t="str">
        <f>""</f>
        <v/>
      </c>
      <c r="AT367" t="s">
        <v>79</v>
      </c>
      <c r="AU367" t="str">
        <f>""</f>
        <v/>
      </c>
      <c r="AV367" t="str">
        <f>""</f>
        <v/>
      </c>
      <c r="AW367" t="s">
        <v>79</v>
      </c>
      <c r="AX367" t="str">
        <f>""</f>
        <v/>
      </c>
      <c r="AY367" t="s">
        <v>81</v>
      </c>
      <c r="BA367" t="s">
        <v>80</v>
      </c>
      <c r="BB367" t="s">
        <v>79</v>
      </c>
      <c r="BD367" t="s">
        <v>79</v>
      </c>
      <c r="BG367" t="s">
        <v>82</v>
      </c>
      <c r="BH367">
        <v>12</v>
      </c>
      <c r="BI367" t="s">
        <v>669</v>
      </c>
      <c r="BJ367" s="2" t="s">
        <v>670</v>
      </c>
      <c r="BK367" t="str">
        <f>"PASEO DE MARIANAS"</f>
        <v>PASEO DE MARIANAS</v>
      </c>
      <c r="BL367" t="str">
        <f>""</f>
        <v/>
      </c>
      <c r="BM367" t="str">
        <f>"Saipan"</f>
        <v>Saipan</v>
      </c>
      <c r="BO367" t="s">
        <v>83</v>
      </c>
      <c r="BP367" s="4" t="str">
        <f t="shared" si="225"/>
        <v>96950</v>
      </c>
      <c r="BQ367" t="s">
        <v>79</v>
      </c>
      <c r="BR367" t="str">
        <f>"39-5012.00"</f>
        <v>39-5012.00</v>
      </c>
      <c r="BS367" t="s">
        <v>184</v>
      </c>
      <c r="BT367" s="3">
        <v>7.88</v>
      </c>
      <c r="BU367" t="s">
        <v>80</v>
      </c>
      <c r="BV367" t="s">
        <v>90</v>
      </c>
      <c r="BW367" t="s">
        <v>92</v>
      </c>
      <c r="BZ367" s="1">
        <v>45107</v>
      </c>
    </row>
    <row r="368" spans="1:78" ht="15" customHeight="1" x14ac:dyDescent="0.25">
      <c r="A368" t="s">
        <v>671</v>
      </c>
      <c r="B368" t="s">
        <v>94</v>
      </c>
      <c r="C368" s="1">
        <v>44831</v>
      </c>
      <c r="D368" s="1">
        <v>44873</v>
      </c>
      <c r="H368" t="s">
        <v>78</v>
      </c>
      <c r="I368" t="str">
        <f>"Kim"</f>
        <v>Kim</v>
      </c>
      <c r="J368" t="str">
        <f>"Doyi"</f>
        <v>Doyi</v>
      </c>
      <c r="K368" t="str">
        <f>""</f>
        <v/>
      </c>
      <c r="L368" t="str">
        <f>"Corporate Secretary"</f>
        <v>Corporate Secretary</v>
      </c>
      <c r="M368" t="str">
        <f>"P.O. Box 506003"</f>
        <v>P.O. Box 506003</v>
      </c>
      <c r="N368" t="str">
        <f>""</f>
        <v/>
      </c>
      <c r="O368" t="str">
        <f>"Saipan"</f>
        <v>Saipan</v>
      </c>
      <c r="P368" t="str">
        <f t="shared" si="221"/>
        <v>MP</v>
      </c>
      <c r="Q368" s="4" t="str">
        <f t="shared" si="223"/>
        <v>96950</v>
      </c>
      <c r="R368" t="str">
        <f t="shared" si="202"/>
        <v>UNITED STATES OF AMERICA</v>
      </c>
      <c r="S368" t="str">
        <f>""</f>
        <v/>
      </c>
      <c r="T368" s="5" t="str">
        <f>"16702353313"</f>
        <v>16702353313</v>
      </c>
      <c r="U368" t="str">
        <f>""</f>
        <v/>
      </c>
      <c r="V368" s="5" t="str">
        <f>""</f>
        <v/>
      </c>
      <c r="W368" t="str">
        <f>"saipanwinners5@gmail.com"</f>
        <v>saipanwinners5@gmail.com</v>
      </c>
      <c r="X368" t="str">
        <f>"Marianas Meat Harvesting Corporation"</f>
        <v>Marianas Meat Harvesting Corporation</v>
      </c>
      <c r="Y368" t="str">
        <f>"MMHC Slaughterhouse, Fresh Martket, MMHC Local Produce, et al"</f>
        <v>MMHC Slaughterhouse, Fresh Martket, MMHC Local Produce, et al</v>
      </c>
      <c r="Z368" t="str">
        <f>"P.O. Box 506003"</f>
        <v>P.O. Box 506003</v>
      </c>
      <c r="AA368" t="str">
        <f>""</f>
        <v/>
      </c>
      <c r="AB368" t="str">
        <f t="shared" ref="AB368:AB377" si="226">"Saipan"</f>
        <v>Saipan</v>
      </c>
      <c r="AC368" t="str">
        <f t="shared" si="222"/>
        <v>MP</v>
      </c>
      <c r="AD368" t="str">
        <f t="shared" si="224"/>
        <v>96950</v>
      </c>
      <c r="AE368" t="str">
        <f t="shared" si="204"/>
        <v>UNITED STATES OF AMERICA</v>
      </c>
      <c r="AF368" t="str">
        <f>""</f>
        <v/>
      </c>
      <c r="AG368" s="4" t="str">
        <f>"16702353313"</f>
        <v>16702353313</v>
      </c>
      <c r="AH368" t="str">
        <f>""</f>
        <v/>
      </c>
      <c r="AI368" t="str">
        <f>"31161"</f>
        <v>31161</v>
      </c>
      <c r="AJ368" t="s">
        <v>79</v>
      </c>
      <c r="AK368" t="s">
        <v>79</v>
      </c>
      <c r="AL368" t="s">
        <v>80</v>
      </c>
      <c r="AM368" t="s">
        <v>79</v>
      </c>
      <c r="AP368" t="str">
        <f>"Butcher &amp; Meat Packer"</f>
        <v>Butcher &amp; Meat Packer</v>
      </c>
      <c r="AQ368" t="str">
        <f>"51-3021.00"</f>
        <v>51-3021.00</v>
      </c>
      <c r="AR368" t="str">
        <f>"Butchers and Meat Cutters"</f>
        <v>Butchers and Meat Cutters</v>
      </c>
      <c r="AS368" t="str">
        <f>"Operations Manager"</f>
        <v>Operations Manager</v>
      </c>
      <c r="AT368" t="s">
        <v>79</v>
      </c>
      <c r="AU368" t="str">
        <f>""</f>
        <v/>
      </c>
      <c r="AV368" t="str">
        <f>""</f>
        <v/>
      </c>
      <c r="AW368" t="s">
        <v>79</v>
      </c>
      <c r="AX368" t="str">
        <f>""</f>
        <v/>
      </c>
      <c r="AY368" t="s">
        <v>84</v>
      </c>
      <c r="BA368" t="s">
        <v>80</v>
      </c>
      <c r="BB368" t="s">
        <v>79</v>
      </c>
      <c r="BD368" t="s">
        <v>79</v>
      </c>
      <c r="BG368" t="s">
        <v>82</v>
      </c>
      <c r="BH368">
        <v>12</v>
      </c>
      <c r="BI368" t="s">
        <v>672</v>
      </c>
      <c r="BJ368" t="s">
        <v>673</v>
      </c>
      <c r="BK368" t="str">
        <f>"Lowerbase Drive"</f>
        <v>Lowerbase Drive</v>
      </c>
      <c r="BL368" t="str">
        <f>""</f>
        <v/>
      </c>
      <c r="BM368" t="str">
        <f>"Saipan"</f>
        <v>Saipan</v>
      </c>
      <c r="BO368" t="s">
        <v>83</v>
      </c>
      <c r="BP368" s="4" t="str">
        <f t="shared" si="225"/>
        <v>96950</v>
      </c>
      <c r="BQ368" t="s">
        <v>82</v>
      </c>
      <c r="BR368" t="str">
        <f>"51-3021.00"</f>
        <v>51-3021.00</v>
      </c>
      <c r="BS368" t="s">
        <v>674</v>
      </c>
      <c r="BT368" s="3">
        <v>8.2799999999999994</v>
      </c>
      <c r="BU368" t="s">
        <v>80</v>
      </c>
      <c r="BV368" t="s">
        <v>90</v>
      </c>
      <c r="BW368" t="s">
        <v>92</v>
      </c>
      <c r="BZ368" s="1">
        <v>45107</v>
      </c>
    </row>
    <row r="369" spans="1:78" ht="15" customHeight="1" x14ac:dyDescent="0.25">
      <c r="A369" t="s">
        <v>675</v>
      </c>
      <c r="B369" t="s">
        <v>94</v>
      </c>
      <c r="C369" s="1">
        <v>44831</v>
      </c>
      <c r="D369" s="1">
        <v>44873</v>
      </c>
      <c r="H369" t="s">
        <v>78</v>
      </c>
      <c r="I369" t="str">
        <f>"Mendoza"</f>
        <v>Mendoza</v>
      </c>
      <c r="J369" t="str">
        <f>"Narme"</f>
        <v>Narme</v>
      </c>
      <c r="K369" t="str">
        <f>"Narciso"</f>
        <v>Narciso</v>
      </c>
      <c r="L369" t="str">
        <f>"Computer Support Specialist"</f>
        <v>Computer Support Specialist</v>
      </c>
      <c r="M369" t="str">
        <f>"P.O. Box 500575 "</f>
        <v xml:space="preserve">P.O. Box 500575 </v>
      </c>
      <c r="N369" t="str">
        <f>"RJ Building Ste #6 Chalan Monsignor Guerrero Road, Dandan"</f>
        <v>RJ Building Ste #6 Chalan Monsignor Guerrero Road, Dandan</v>
      </c>
      <c r="O369" t="str">
        <f>"Saipan"</f>
        <v>Saipan</v>
      </c>
      <c r="P369" t="str">
        <f t="shared" si="221"/>
        <v>MP</v>
      </c>
      <c r="Q369" s="4" t="str">
        <f t="shared" si="223"/>
        <v>96950</v>
      </c>
      <c r="R369" t="str">
        <f t="shared" si="202"/>
        <v>UNITED STATES OF AMERICA</v>
      </c>
      <c r="S369" t="str">
        <f t="shared" ref="S369:S375" si="227">"CNMI"</f>
        <v>CNMI</v>
      </c>
      <c r="T369" s="5" t="str">
        <f t="shared" ref="T369:T375" si="228">"16702358763"</f>
        <v>16702358763</v>
      </c>
      <c r="U369" t="str">
        <f>""</f>
        <v/>
      </c>
      <c r="V369" s="5" t="str">
        <f>""</f>
        <v/>
      </c>
      <c r="W369" t="str">
        <f t="shared" ref="W369:W375" si="229">"rjcorporation670@gmail.com"</f>
        <v>rjcorporation670@gmail.com</v>
      </c>
      <c r="X369" t="str">
        <f t="shared" ref="X369:X375" si="230">"RJ Corporation"</f>
        <v>RJ Corporation</v>
      </c>
      <c r="Y369" t="str">
        <f>"Property Rental, Manpower Services, Landscaping"</f>
        <v>Property Rental, Manpower Services, Landscaping</v>
      </c>
      <c r="Z369" t="str">
        <f t="shared" ref="Z369:Z375" si="231">"P.O. Box 500575"</f>
        <v>P.O. Box 500575</v>
      </c>
      <c r="AA369" t="str">
        <f>"RJ Building Ste #6, Chalan Monsignor Guerrero Road"</f>
        <v>RJ Building Ste #6, Chalan Monsignor Guerrero Road</v>
      </c>
      <c r="AB369" t="str">
        <f t="shared" si="226"/>
        <v>Saipan</v>
      </c>
      <c r="AC369" t="str">
        <f t="shared" si="222"/>
        <v>MP</v>
      </c>
      <c r="AD369" t="str">
        <f t="shared" si="224"/>
        <v>96950</v>
      </c>
      <c r="AE369" t="str">
        <f t="shared" si="204"/>
        <v>UNITED STATES OF AMERICA</v>
      </c>
      <c r="AF369" t="str">
        <f t="shared" ref="AF369:AF375" si="232">"CNMI"</f>
        <v>CNMI</v>
      </c>
      <c r="AG369" s="4" t="str">
        <f t="shared" ref="AG369:AG375" si="233">"16702358763"</f>
        <v>16702358763</v>
      </c>
      <c r="AH369" t="str">
        <f>""</f>
        <v/>
      </c>
      <c r="AI369" t="str">
        <f>"531110"</f>
        <v>531110</v>
      </c>
      <c r="AJ369" t="s">
        <v>79</v>
      </c>
      <c r="AK369" t="s">
        <v>79</v>
      </c>
      <c r="AL369" t="s">
        <v>80</v>
      </c>
      <c r="AM369" t="s">
        <v>79</v>
      </c>
      <c r="AP369" t="str">
        <f>"Computer User Support Specialist"</f>
        <v>Computer User Support Specialist</v>
      </c>
      <c r="AQ369" t="str">
        <f>"15-1232.00"</f>
        <v>15-1232.00</v>
      </c>
      <c r="AR369" t="str">
        <f>"Computer User Support Specialists"</f>
        <v>Computer User Support Specialists</v>
      </c>
      <c r="AS369" t="str">
        <f>"Office Manager or President"</f>
        <v>Office Manager or President</v>
      </c>
      <c r="AT369" t="s">
        <v>79</v>
      </c>
      <c r="AU369" t="str">
        <f>""</f>
        <v/>
      </c>
      <c r="AV369" t="str">
        <f>""</f>
        <v/>
      </c>
      <c r="AW369" t="s">
        <v>79</v>
      </c>
      <c r="AX369" t="str">
        <f>""</f>
        <v/>
      </c>
      <c r="AY369" t="s">
        <v>95</v>
      </c>
      <c r="BA369" t="s">
        <v>80</v>
      </c>
      <c r="BB369" t="s">
        <v>79</v>
      </c>
      <c r="BD369" t="s">
        <v>79</v>
      </c>
      <c r="BG369" t="s">
        <v>82</v>
      </c>
      <c r="BH369">
        <v>24</v>
      </c>
      <c r="BI369" t="s">
        <v>676</v>
      </c>
      <c r="BJ369" t="s">
        <v>677</v>
      </c>
      <c r="BK369" t="str">
        <f>"RJ Building Ste# 6 Chalan Monsignor Guerrero Road, Dandan"</f>
        <v>RJ Building Ste# 6 Chalan Monsignor Guerrero Road, Dandan</v>
      </c>
      <c r="BL369" t="str">
        <f>""</f>
        <v/>
      </c>
      <c r="BM369" t="str">
        <f>"Saipan"</f>
        <v>Saipan</v>
      </c>
      <c r="BO369" t="s">
        <v>83</v>
      </c>
      <c r="BP369" s="4" t="str">
        <f t="shared" si="225"/>
        <v>96950</v>
      </c>
      <c r="BQ369" t="s">
        <v>79</v>
      </c>
      <c r="BR369" t="str">
        <f>"15-1232.00"</f>
        <v>15-1232.00</v>
      </c>
      <c r="BS369" t="s">
        <v>678</v>
      </c>
      <c r="BT369" s="3">
        <v>12.78</v>
      </c>
      <c r="BU369" t="s">
        <v>80</v>
      </c>
      <c r="BV369" t="s">
        <v>90</v>
      </c>
      <c r="BW369" t="s">
        <v>92</v>
      </c>
      <c r="BZ369" s="1">
        <v>45107</v>
      </c>
    </row>
    <row r="370" spans="1:78" ht="15" customHeight="1" x14ac:dyDescent="0.25">
      <c r="A370" t="s">
        <v>679</v>
      </c>
      <c r="B370" t="s">
        <v>94</v>
      </c>
      <c r="C370" s="1">
        <v>44831</v>
      </c>
      <c r="D370" s="1">
        <v>44873</v>
      </c>
      <c r="H370" t="s">
        <v>78</v>
      </c>
      <c r="I370" t="str">
        <f>"Mendoza"</f>
        <v>Mendoza</v>
      </c>
      <c r="J370" t="str">
        <f>"Narme"</f>
        <v>Narme</v>
      </c>
      <c r="K370" t="str">
        <f>"Narciso"</f>
        <v>Narciso</v>
      </c>
      <c r="L370" t="str">
        <f>"Computer  Support Specialist"</f>
        <v>Computer  Support Specialist</v>
      </c>
      <c r="M370" t="str">
        <f>"P.O. Box 500575"</f>
        <v>P.O. Box 500575</v>
      </c>
      <c r="N370" t="str">
        <f>"RJ Building Ste #6 Chalan Monsignor Guerrero Road, Dandan"</f>
        <v>RJ Building Ste #6 Chalan Monsignor Guerrero Road, Dandan</v>
      </c>
      <c r="O370" t="str">
        <f>"Saipan"</f>
        <v>Saipan</v>
      </c>
      <c r="P370" t="str">
        <f t="shared" si="221"/>
        <v>MP</v>
      </c>
      <c r="Q370" s="4" t="str">
        <f t="shared" si="223"/>
        <v>96950</v>
      </c>
      <c r="R370" t="str">
        <f t="shared" si="202"/>
        <v>UNITED STATES OF AMERICA</v>
      </c>
      <c r="S370" t="str">
        <f t="shared" si="227"/>
        <v>CNMI</v>
      </c>
      <c r="T370" s="5" t="str">
        <f t="shared" si="228"/>
        <v>16702358763</v>
      </c>
      <c r="U370" t="str">
        <f>""</f>
        <v/>
      </c>
      <c r="V370" s="5" t="str">
        <f>""</f>
        <v/>
      </c>
      <c r="W370" t="str">
        <f t="shared" si="229"/>
        <v>rjcorporation670@gmail.com</v>
      </c>
      <c r="X370" t="str">
        <f t="shared" si="230"/>
        <v>RJ Corporation</v>
      </c>
      <c r="Y370" t="str">
        <f>"Property Rental, Manpower Services, Landscaping"</f>
        <v>Property Rental, Manpower Services, Landscaping</v>
      </c>
      <c r="Z370" t="str">
        <f t="shared" si="231"/>
        <v>P.O. Box 500575</v>
      </c>
      <c r="AA370" t="str">
        <f>"RJ Building Ste#6, Chalan Monsignor Guerrero Road, Dandan"</f>
        <v>RJ Building Ste#6, Chalan Monsignor Guerrero Road, Dandan</v>
      </c>
      <c r="AB370" t="str">
        <f t="shared" si="226"/>
        <v>Saipan</v>
      </c>
      <c r="AC370" t="str">
        <f t="shared" si="222"/>
        <v>MP</v>
      </c>
      <c r="AD370" t="str">
        <f t="shared" si="224"/>
        <v>96950</v>
      </c>
      <c r="AE370" t="str">
        <f t="shared" si="204"/>
        <v>UNITED STATES OF AMERICA</v>
      </c>
      <c r="AF370" t="str">
        <f t="shared" si="232"/>
        <v>CNMI</v>
      </c>
      <c r="AG370" s="4" t="str">
        <f t="shared" si="233"/>
        <v>16702358763</v>
      </c>
      <c r="AH370" t="str">
        <f>""</f>
        <v/>
      </c>
      <c r="AI370" t="str">
        <f>"531110"</f>
        <v>531110</v>
      </c>
      <c r="AJ370" t="s">
        <v>79</v>
      </c>
      <c r="AK370" t="s">
        <v>79</v>
      </c>
      <c r="AL370" t="s">
        <v>80</v>
      </c>
      <c r="AM370" t="s">
        <v>79</v>
      </c>
      <c r="AP370" t="str">
        <f>"Bookeeping"</f>
        <v>Bookeeping</v>
      </c>
      <c r="AQ370" t="str">
        <f>"43-3031.00"</f>
        <v>43-3031.00</v>
      </c>
      <c r="AR370" t="str">
        <f>"Bookkeeping, Accounting, and Auditing Clerks"</f>
        <v>Bookkeeping, Accounting, and Auditing Clerks</v>
      </c>
      <c r="AS370" t="str">
        <f>"Accounting Manager or President"</f>
        <v>Accounting Manager or President</v>
      </c>
      <c r="AT370" t="s">
        <v>79</v>
      </c>
      <c r="AU370" t="str">
        <f>""</f>
        <v/>
      </c>
      <c r="AV370" t="str">
        <f>""</f>
        <v/>
      </c>
      <c r="AW370" t="s">
        <v>79</v>
      </c>
      <c r="AX370" t="str">
        <f>""</f>
        <v/>
      </c>
      <c r="AY370" t="s">
        <v>124</v>
      </c>
      <c r="BA370" t="s">
        <v>80</v>
      </c>
      <c r="BB370" t="s">
        <v>79</v>
      </c>
      <c r="BD370" t="s">
        <v>79</v>
      </c>
      <c r="BG370" t="s">
        <v>82</v>
      </c>
      <c r="BH370">
        <v>24</v>
      </c>
      <c r="BI370" t="s">
        <v>680</v>
      </c>
      <c r="BJ370" s="2" t="s">
        <v>681</v>
      </c>
      <c r="BK370" t="str">
        <f>"RJ Building Ste#6 Chalan Monsignor Guerrero Road, Dandan"</f>
        <v>RJ Building Ste#6 Chalan Monsignor Guerrero Road, Dandan</v>
      </c>
      <c r="BL370" t="str">
        <f>"N/A"</f>
        <v>N/A</v>
      </c>
      <c r="BM370" t="str">
        <f>"SAIPAN"</f>
        <v>SAIPAN</v>
      </c>
      <c r="BO370" t="s">
        <v>83</v>
      </c>
      <c r="BP370" s="4" t="str">
        <f t="shared" si="225"/>
        <v>96950</v>
      </c>
      <c r="BQ370" t="s">
        <v>79</v>
      </c>
      <c r="BR370" t="str">
        <f>"43-3031.00"</f>
        <v>43-3031.00</v>
      </c>
      <c r="BS370" t="s">
        <v>142</v>
      </c>
      <c r="BT370" s="3">
        <v>11.21</v>
      </c>
      <c r="BU370" t="s">
        <v>80</v>
      </c>
      <c r="BV370" t="s">
        <v>90</v>
      </c>
      <c r="BW370" t="s">
        <v>92</v>
      </c>
      <c r="BZ370" s="1">
        <v>45107</v>
      </c>
    </row>
    <row r="371" spans="1:78" ht="15" customHeight="1" x14ac:dyDescent="0.25">
      <c r="A371" t="s">
        <v>682</v>
      </c>
      <c r="B371" t="s">
        <v>94</v>
      </c>
      <c r="C371" s="1">
        <v>44831</v>
      </c>
      <c r="D371" s="1">
        <v>44873</v>
      </c>
      <c r="H371" t="s">
        <v>78</v>
      </c>
      <c r="I371" t="str">
        <f>"MENDOZA"</f>
        <v>MENDOZA</v>
      </c>
      <c r="J371" t="str">
        <f>"NARME"</f>
        <v>NARME</v>
      </c>
      <c r="K371" t="str">
        <f>"NARCISO"</f>
        <v>NARCISO</v>
      </c>
      <c r="L371" t="str">
        <f>"COMPUTER SUPPORT SPECIALIST"</f>
        <v>COMPUTER SUPPORT SPECIALIST</v>
      </c>
      <c r="M371" t="str">
        <f>"P.O. BOX 500575"</f>
        <v>P.O. BOX 500575</v>
      </c>
      <c r="N371" t="str">
        <f>"RJ BUILDING STE #6 CHALAN MONSIGNOR GUERRERO ROAD, DANDAN"</f>
        <v>RJ BUILDING STE #6 CHALAN MONSIGNOR GUERRERO ROAD, DANDAN</v>
      </c>
      <c r="O371" t="str">
        <f>"SAIPAN"</f>
        <v>SAIPAN</v>
      </c>
      <c r="P371" t="str">
        <f t="shared" si="221"/>
        <v>MP</v>
      </c>
      <c r="Q371" s="4" t="str">
        <f t="shared" si="223"/>
        <v>96950</v>
      </c>
      <c r="R371" t="str">
        <f t="shared" si="202"/>
        <v>UNITED STATES OF AMERICA</v>
      </c>
      <c r="S371" t="str">
        <f t="shared" si="227"/>
        <v>CNMI</v>
      </c>
      <c r="T371" s="5" t="str">
        <f t="shared" si="228"/>
        <v>16702358763</v>
      </c>
      <c r="U371" t="str">
        <f>""</f>
        <v/>
      </c>
      <c r="V371" s="5" t="str">
        <f>""</f>
        <v/>
      </c>
      <c r="W371" t="str">
        <f t="shared" si="229"/>
        <v>rjcorporation670@gmail.com</v>
      </c>
      <c r="X371" t="str">
        <f t="shared" si="230"/>
        <v>RJ Corporation</v>
      </c>
      <c r="Y371" t="str">
        <f>"Property rental, Manpower Services, Landscaping"</f>
        <v>Property rental, Manpower Services, Landscaping</v>
      </c>
      <c r="Z371" t="str">
        <f t="shared" si="231"/>
        <v>P.O. Box 500575</v>
      </c>
      <c r="AA371" t="str">
        <f>"RJ Building Ste #6 Chalan Monsignor Guerrero Road, Dandan"</f>
        <v>RJ Building Ste #6 Chalan Monsignor Guerrero Road, Dandan</v>
      </c>
      <c r="AB371" t="str">
        <f t="shared" si="226"/>
        <v>Saipan</v>
      </c>
      <c r="AC371" t="str">
        <f t="shared" si="222"/>
        <v>MP</v>
      </c>
      <c r="AD371" t="str">
        <f t="shared" si="224"/>
        <v>96950</v>
      </c>
      <c r="AE371" t="str">
        <f t="shared" si="204"/>
        <v>UNITED STATES OF AMERICA</v>
      </c>
      <c r="AF371" t="str">
        <f t="shared" si="232"/>
        <v>CNMI</v>
      </c>
      <c r="AG371" s="4" t="str">
        <f t="shared" si="233"/>
        <v>16702358763</v>
      </c>
      <c r="AH371" t="str">
        <f>""</f>
        <v/>
      </c>
      <c r="AI371" t="str">
        <f>"531110"</f>
        <v>531110</v>
      </c>
      <c r="AJ371" t="s">
        <v>79</v>
      </c>
      <c r="AK371" t="s">
        <v>79</v>
      </c>
      <c r="AL371" t="s">
        <v>80</v>
      </c>
      <c r="AM371" t="s">
        <v>79</v>
      </c>
      <c r="AP371" t="str">
        <f>"BUILDING MAINTENANCE AND REPAIRER"</f>
        <v>BUILDING MAINTENANCE AND REPAIRER</v>
      </c>
      <c r="AQ371" t="str">
        <f>"49-9071.00"</f>
        <v>49-9071.00</v>
      </c>
      <c r="AR371" t="str">
        <f>"Maintenance and Repair Workers, General"</f>
        <v>Maintenance and Repair Workers, General</v>
      </c>
      <c r="AS371" t="str">
        <f>"MAINTENANCE SUPERVISOR"</f>
        <v>MAINTENANCE SUPERVISOR</v>
      </c>
      <c r="AT371" t="s">
        <v>79</v>
      </c>
      <c r="AU371" t="str">
        <f>""</f>
        <v/>
      </c>
      <c r="AV371" t="str">
        <f>""</f>
        <v/>
      </c>
      <c r="AW371" t="s">
        <v>79</v>
      </c>
      <c r="AX371" t="str">
        <f>""</f>
        <v/>
      </c>
      <c r="AY371" t="s">
        <v>84</v>
      </c>
      <c r="BA371" t="s">
        <v>80</v>
      </c>
      <c r="BB371" t="s">
        <v>79</v>
      </c>
      <c r="BD371" t="s">
        <v>79</v>
      </c>
      <c r="BG371" t="s">
        <v>82</v>
      </c>
      <c r="BH371">
        <v>24</v>
      </c>
      <c r="BI371" t="s">
        <v>683</v>
      </c>
      <c r="BJ371" t="s">
        <v>684</v>
      </c>
      <c r="BK371" t="str">
        <f>"Saipan"</f>
        <v>Saipan</v>
      </c>
      <c r="BL371" t="str">
        <f>"N/A"</f>
        <v>N/A</v>
      </c>
      <c r="BM371" t="str">
        <f t="shared" ref="BM371:BM378" si="234">"Saipan"</f>
        <v>Saipan</v>
      </c>
      <c r="BO371" t="s">
        <v>83</v>
      </c>
      <c r="BP371" s="4" t="str">
        <f t="shared" si="225"/>
        <v>96950</v>
      </c>
      <c r="BQ371" t="s">
        <v>82</v>
      </c>
      <c r="BR371" t="str">
        <f>"49-9071.00"</f>
        <v>49-9071.00</v>
      </c>
      <c r="BS371" t="s">
        <v>146</v>
      </c>
      <c r="BT371" s="3">
        <v>9.19</v>
      </c>
      <c r="BU371" t="s">
        <v>80</v>
      </c>
      <c r="BV371" t="s">
        <v>90</v>
      </c>
      <c r="BW371" t="s">
        <v>92</v>
      </c>
      <c r="BZ371" s="1">
        <v>45107</v>
      </c>
    </row>
    <row r="372" spans="1:78" ht="15" customHeight="1" x14ac:dyDescent="0.25">
      <c r="A372" t="s">
        <v>685</v>
      </c>
      <c r="B372" t="s">
        <v>94</v>
      </c>
      <c r="C372" s="1">
        <v>44831</v>
      </c>
      <c r="D372" s="1">
        <v>44873</v>
      </c>
      <c r="H372" t="s">
        <v>78</v>
      </c>
      <c r="I372" t="str">
        <f>"MENDOZA"</f>
        <v>MENDOZA</v>
      </c>
      <c r="J372" t="str">
        <f>"NARME"</f>
        <v>NARME</v>
      </c>
      <c r="K372" t="str">
        <f>"NARCISO"</f>
        <v>NARCISO</v>
      </c>
      <c r="L372" t="str">
        <f>"COMPUTER SUPPORT SPECIALIST"</f>
        <v>COMPUTER SUPPORT SPECIALIST</v>
      </c>
      <c r="M372" t="str">
        <f>"P.O. Box 500575"</f>
        <v>P.O. Box 500575</v>
      </c>
      <c r="N372" t="str">
        <f>"RJ Building Ste #6 Chalan Monsignor Guerrero Road, Dandan"</f>
        <v>RJ Building Ste #6 Chalan Monsignor Guerrero Road, Dandan</v>
      </c>
      <c r="O372" t="str">
        <f>"Saipan"</f>
        <v>Saipan</v>
      </c>
      <c r="P372" t="str">
        <f t="shared" si="221"/>
        <v>MP</v>
      </c>
      <c r="Q372" s="4" t="str">
        <f t="shared" si="223"/>
        <v>96950</v>
      </c>
      <c r="R372" t="str">
        <f t="shared" si="202"/>
        <v>UNITED STATES OF AMERICA</v>
      </c>
      <c r="S372" t="str">
        <f t="shared" si="227"/>
        <v>CNMI</v>
      </c>
      <c r="T372" s="5" t="str">
        <f t="shared" si="228"/>
        <v>16702358763</v>
      </c>
      <c r="U372" t="str">
        <f>""</f>
        <v/>
      </c>
      <c r="V372" s="5" t="str">
        <f>""</f>
        <v/>
      </c>
      <c r="W372" t="str">
        <f t="shared" si="229"/>
        <v>rjcorporation670@gmail.com</v>
      </c>
      <c r="X372" t="str">
        <f t="shared" si="230"/>
        <v>RJ Corporation</v>
      </c>
      <c r="Y372" t="str">
        <f>"Property Rental, Manpower Services, Landscaping"</f>
        <v>Property Rental, Manpower Services, Landscaping</v>
      </c>
      <c r="Z372" t="str">
        <f t="shared" si="231"/>
        <v>P.O. Box 500575</v>
      </c>
      <c r="AA372" t="str">
        <f>"RJ Building Ste #6 Chalan Monsignor Guerrero Road, Dandan"</f>
        <v>RJ Building Ste #6 Chalan Monsignor Guerrero Road, Dandan</v>
      </c>
      <c r="AB372" t="str">
        <f t="shared" si="226"/>
        <v>Saipan</v>
      </c>
      <c r="AC372" t="str">
        <f t="shared" si="222"/>
        <v>MP</v>
      </c>
      <c r="AD372" t="str">
        <f t="shared" si="224"/>
        <v>96950</v>
      </c>
      <c r="AE372" t="str">
        <f t="shared" si="204"/>
        <v>UNITED STATES OF AMERICA</v>
      </c>
      <c r="AF372" t="str">
        <f t="shared" si="232"/>
        <v>CNMI</v>
      </c>
      <c r="AG372" s="4" t="str">
        <f t="shared" si="233"/>
        <v>16702358763</v>
      </c>
      <c r="AH372" t="str">
        <f>""</f>
        <v/>
      </c>
      <c r="AI372" t="str">
        <f>"531110"</f>
        <v>531110</v>
      </c>
      <c r="AJ372" t="s">
        <v>79</v>
      </c>
      <c r="AK372" t="s">
        <v>79</v>
      </c>
      <c r="AL372" t="s">
        <v>80</v>
      </c>
      <c r="AM372" t="s">
        <v>79</v>
      </c>
      <c r="AP372" t="str">
        <f>"Maids &amp; Housekeeping Worker"</f>
        <v>Maids &amp; Housekeeping Worker</v>
      </c>
      <c r="AQ372" t="str">
        <f>"37-2012.00"</f>
        <v>37-2012.00</v>
      </c>
      <c r="AR372" t="str">
        <f>"Maids and Housekeeping Cleaners"</f>
        <v>Maids and Housekeeping Cleaners</v>
      </c>
      <c r="AS372" t="str">
        <f>"Manager"</f>
        <v>Manager</v>
      </c>
      <c r="AT372" t="s">
        <v>79</v>
      </c>
      <c r="AU372" t="str">
        <f>""</f>
        <v/>
      </c>
      <c r="AV372" t="str">
        <f>""</f>
        <v/>
      </c>
      <c r="AW372" t="s">
        <v>79</v>
      </c>
      <c r="AX372" t="str">
        <f>""</f>
        <v/>
      </c>
      <c r="AY372" t="s">
        <v>84</v>
      </c>
      <c r="BA372" t="s">
        <v>80</v>
      </c>
      <c r="BB372" t="s">
        <v>79</v>
      </c>
      <c r="BD372" t="s">
        <v>79</v>
      </c>
      <c r="BG372" t="s">
        <v>82</v>
      </c>
      <c r="BH372">
        <v>3</v>
      </c>
      <c r="BI372" t="s">
        <v>686</v>
      </c>
      <c r="BJ372" t="s">
        <v>687</v>
      </c>
      <c r="BK372" t="str">
        <f>"RJ Building, Chalan Monsignor Guerrero Road, Dandan"</f>
        <v>RJ Building, Chalan Monsignor Guerrero Road, Dandan</v>
      </c>
      <c r="BL372" t="str">
        <f>"N/A"</f>
        <v>N/A</v>
      </c>
      <c r="BM372" t="str">
        <f t="shared" si="234"/>
        <v>Saipan</v>
      </c>
      <c r="BO372" t="s">
        <v>83</v>
      </c>
      <c r="BP372" s="4" t="str">
        <f t="shared" si="225"/>
        <v>96950</v>
      </c>
      <c r="BQ372" t="s">
        <v>82</v>
      </c>
      <c r="BR372" t="str">
        <f>"37-2012.00"</f>
        <v>37-2012.00</v>
      </c>
      <c r="BS372" t="s">
        <v>109</v>
      </c>
      <c r="BT372" s="3">
        <v>7.56</v>
      </c>
      <c r="BU372" t="s">
        <v>80</v>
      </c>
      <c r="BV372" t="s">
        <v>90</v>
      </c>
      <c r="BW372" t="s">
        <v>92</v>
      </c>
      <c r="BZ372" s="1">
        <v>45107</v>
      </c>
    </row>
    <row r="373" spans="1:78" ht="15" customHeight="1" x14ac:dyDescent="0.25">
      <c r="A373" t="s">
        <v>688</v>
      </c>
      <c r="B373" t="s">
        <v>94</v>
      </c>
      <c r="C373" s="1">
        <v>44831</v>
      </c>
      <c r="D373" s="1">
        <v>44873</v>
      </c>
      <c r="H373" t="s">
        <v>78</v>
      </c>
      <c r="I373" t="str">
        <f>"MENDOZA"</f>
        <v>MENDOZA</v>
      </c>
      <c r="J373" t="str">
        <f>"NARME"</f>
        <v>NARME</v>
      </c>
      <c r="K373" t="str">
        <f>"NARCISO"</f>
        <v>NARCISO</v>
      </c>
      <c r="L373" t="str">
        <f>"COMPUTER SUPPORT SPECIALIST"</f>
        <v>COMPUTER SUPPORT SPECIALIST</v>
      </c>
      <c r="M373" t="str">
        <f>"P.O. Box 500575"</f>
        <v>P.O. Box 500575</v>
      </c>
      <c r="N373" t="str">
        <f>"RJ Building Ste #6 Chalan Monsignor Guerrero Road, Dandan"</f>
        <v>RJ Building Ste #6 Chalan Monsignor Guerrero Road, Dandan</v>
      </c>
      <c r="O373" t="str">
        <f>"Saipan"</f>
        <v>Saipan</v>
      </c>
      <c r="P373" t="str">
        <f t="shared" si="221"/>
        <v>MP</v>
      </c>
      <c r="Q373" s="4" t="str">
        <f t="shared" si="223"/>
        <v>96950</v>
      </c>
      <c r="R373" t="str">
        <f t="shared" si="202"/>
        <v>UNITED STATES OF AMERICA</v>
      </c>
      <c r="S373" t="str">
        <f t="shared" si="227"/>
        <v>CNMI</v>
      </c>
      <c r="T373" s="5" t="str">
        <f t="shared" si="228"/>
        <v>16702358763</v>
      </c>
      <c r="U373" t="str">
        <f>""</f>
        <v/>
      </c>
      <c r="V373" s="5" t="str">
        <f>""</f>
        <v/>
      </c>
      <c r="W373" t="str">
        <f t="shared" si="229"/>
        <v>rjcorporation670@gmail.com</v>
      </c>
      <c r="X373" t="str">
        <f t="shared" si="230"/>
        <v>RJ Corporation</v>
      </c>
      <c r="Y373" t="str">
        <f>"Property Rental, Manpower Services, Landscaping"</f>
        <v>Property Rental, Manpower Services, Landscaping</v>
      </c>
      <c r="Z373" t="str">
        <f t="shared" si="231"/>
        <v>P.O. Box 500575</v>
      </c>
      <c r="AA373" t="str">
        <f>"RJ Building Ste #6 Chalan Monsignor Guerrero Road, Dandan"</f>
        <v>RJ Building Ste #6 Chalan Monsignor Guerrero Road, Dandan</v>
      </c>
      <c r="AB373" t="str">
        <f t="shared" si="226"/>
        <v>Saipan</v>
      </c>
      <c r="AC373" t="str">
        <f t="shared" si="222"/>
        <v>MP</v>
      </c>
      <c r="AD373" t="str">
        <f t="shared" si="224"/>
        <v>96950</v>
      </c>
      <c r="AE373" t="str">
        <f t="shared" si="204"/>
        <v>UNITED STATES OF AMERICA</v>
      </c>
      <c r="AF373" t="str">
        <f t="shared" si="232"/>
        <v>CNMI</v>
      </c>
      <c r="AG373" s="4" t="str">
        <f t="shared" si="233"/>
        <v>16702358763</v>
      </c>
      <c r="AH373" t="str">
        <f>""</f>
        <v/>
      </c>
      <c r="AI373" t="str">
        <f>"561730"</f>
        <v>561730</v>
      </c>
      <c r="AJ373" t="s">
        <v>79</v>
      </c>
      <c r="AK373" t="s">
        <v>79</v>
      </c>
      <c r="AL373" t="s">
        <v>80</v>
      </c>
      <c r="AM373" t="s">
        <v>79</v>
      </c>
      <c r="AP373" t="str">
        <f>"Landscaping Worker"</f>
        <v>Landscaping Worker</v>
      </c>
      <c r="AQ373" t="str">
        <f>"37-3011.00"</f>
        <v>37-3011.00</v>
      </c>
      <c r="AR373" t="str">
        <f>"Landscaping and Groundskeeping Workers"</f>
        <v>Landscaping and Groundskeeping Workers</v>
      </c>
      <c r="AS373" t="str">
        <f>"Manager"</f>
        <v>Manager</v>
      </c>
      <c r="AT373" t="s">
        <v>79</v>
      </c>
      <c r="AU373" t="str">
        <f>""</f>
        <v/>
      </c>
      <c r="AV373" t="str">
        <f>""</f>
        <v/>
      </c>
      <c r="AW373" t="s">
        <v>79</v>
      </c>
      <c r="AX373" t="str">
        <f>""</f>
        <v/>
      </c>
      <c r="AY373" t="s">
        <v>84</v>
      </c>
      <c r="BA373" t="s">
        <v>80</v>
      </c>
      <c r="BB373" t="s">
        <v>79</v>
      </c>
      <c r="BD373" t="s">
        <v>79</v>
      </c>
      <c r="BG373" t="s">
        <v>82</v>
      </c>
      <c r="BH373">
        <v>3</v>
      </c>
      <c r="BI373" t="s">
        <v>689</v>
      </c>
      <c r="BJ373" t="s">
        <v>690</v>
      </c>
      <c r="BK373" t="str">
        <f>"Saipan"</f>
        <v>Saipan</v>
      </c>
      <c r="BL373" t="str">
        <f>"N/A"</f>
        <v>N/A</v>
      </c>
      <c r="BM373" t="str">
        <f t="shared" si="234"/>
        <v>Saipan</v>
      </c>
      <c r="BO373" t="s">
        <v>83</v>
      </c>
      <c r="BP373" s="4" t="str">
        <f t="shared" si="225"/>
        <v>96950</v>
      </c>
      <c r="BQ373" t="s">
        <v>82</v>
      </c>
      <c r="BR373" t="str">
        <f>"37-3011.00"</f>
        <v>37-3011.00</v>
      </c>
      <c r="BS373" t="s">
        <v>122</v>
      </c>
      <c r="BT373" s="3">
        <v>8.1300000000000008</v>
      </c>
      <c r="BU373" t="s">
        <v>80</v>
      </c>
      <c r="BV373" t="s">
        <v>90</v>
      </c>
      <c r="BW373" t="s">
        <v>92</v>
      </c>
      <c r="BZ373" s="1">
        <v>45107</v>
      </c>
    </row>
    <row r="374" spans="1:78" ht="15" customHeight="1" x14ac:dyDescent="0.25">
      <c r="A374" t="s">
        <v>691</v>
      </c>
      <c r="B374" t="s">
        <v>94</v>
      </c>
      <c r="C374" s="1">
        <v>44831</v>
      </c>
      <c r="D374" s="1">
        <v>44873</v>
      </c>
      <c r="H374" t="s">
        <v>78</v>
      </c>
      <c r="I374" t="str">
        <f>"MENDOZA"</f>
        <v>MENDOZA</v>
      </c>
      <c r="J374" t="str">
        <f>"NARME"</f>
        <v>NARME</v>
      </c>
      <c r="K374" t="str">
        <f>"NARCISO"</f>
        <v>NARCISO</v>
      </c>
      <c r="L374" t="str">
        <f>"COMPUTER SUPPORT SPECIALIST"</f>
        <v>COMPUTER SUPPORT SPECIALIST</v>
      </c>
      <c r="M374" t="str">
        <f>"P.O. BOX 500575"</f>
        <v>P.O. BOX 500575</v>
      </c>
      <c r="N374" t="str">
        <f>"RJ Building Ste #6 Chalan Monsignor Guerrero Road, Dandan"</f>
        <v>RJ Building Ste #6 Chalan Monsignor Guerrero Road, Dandan</v>
      </c>
      <c r="O374" t="str">
        <f>"Saipan"</f>
        <v>Saipan</v>
      </c>
      <c r="P374" t="str">
        <f t="shared" si="221"/>
        <v>MP</v>
      </c>
      <c r="Q374" s="4" t="str">
        <f t="shared" si="223"/>
        <v>96950</v>
      </c>
      <c r="R374" t="str">
        <f t="shared" si="202"/>
        <v>UNITED STATES OF AMERICA</v>
      </c>
      <c r="S374" t="str">
        <f t="shared" si="227"/>
        <v>CNMI</v>
      </c>
      <c r="T374" s="5" t="str">
        <f t="shared" si="228"/>
        <v>16702358763</v>
      </c>
      <c r="U374" t="str">
        <f>""</f>
        <v/>
      </c>
      <c r="V374" s="5" t="str">
        <f>""</f>
        <v/>
      </c>
      <c r="W374" t="str">
        <f t="shared" si="229"/>
        <v>rjcorporation670@gmail.com</v>
      </c>
      <c r="X374" t="str">
        <f t="shared" si="230"/>
        <v>RJ Corporation</v>
      </c>
      <c r="Y374" t="str">
        <f>"Property Rental, Manpower Services, Landscaping"</f>
        <v>Property Rental, Manpower Services, Landscaping</v>
      </c>
      <c r="Z374" t="str">
        <f t="shared" si="231"/>
        <v>P.O. Box 500575</v>
      </c>
      <c r="AA374" t="str">
        <f>"RJ Building Ste #6 Chalan Monsignor Guerrero Road, Dandan"</f>
        <v>RJ Building Ste #6 Chalan Monsignor Guerrero Road, Dandan</v>
      </c>
      <c r="AB374" t="str">
        <f t="shared" si="226"/>
        <v>Saipan</v>
      </c>
      <c r="AC374" t="str">
        <f t="shared" si="222"/>
        <v>MP</v>
      </c>
      <c r="AD374" t="str">
        <f t="shared" si="224"/>
        <v>96950</v>
      </c>
      <c r="AE374" t="str">
        <f t="shared" si="204"/>
        <v>UNITED STATES OF AMERICA</v>
      </c>
      <c r="AF374" t="str">
        <f t="shared" si="232"/>
        <v>CNMI</v>
      </c>
      <c r="AG374" s="4" t="str">
        <f t="shared" si="233"/>
        <v>16702358763</v>
      </c>
      <c r="AH374" t="str">
        <f>""</f>
        <v/>
      </c>
      <c r="AI374" t="str">
        <f>"561320"</f>
        <v>561320</v>
      </c>
      <c r="AJ374" t="s">
        <v>79</v>
      </c>
      <c r="AK374" t="s">
        <v>79</v>
      </c>
      <c r="AL374" t="s">
        <v>80</v>
      </c>
      <c r="AM374" t="s">
        <v>79</v>
      </c>
      <c r="AP374" t="str">
        <f>"Food Service Supervisor"</f>
        <v>Food Service Supervisor</v>
      </c>
      <c r="AQ374" t="str">
        <f>"35-1012.00"</f>
        <v>35-1012.00</v>
      </c>
      <c r="AR374" t="str">
        <f>"First-Line Supervisors of Food Preparation and Serving Workers"</f>
        <v>First-Line Supervisors of Food Preparation and Serving Workers</v>
      </c>
      <c r="AS374" t="str">
        <f>"General Manager"</f>
        <v>General Manager</v>
      </c>
      <c r="AT374" t="s">
        <v>82</v>
      </c>
      <c r="AU374" t="str">
        <f>"50"</f>
        <v>50</v>
      </c>
      <c r="AV374" t="str">
        <f>"Subordinate"</f>
        <v>Subordinate</v>
      </c>
      <c r="AW374" t="s">
        <v>79</v>
      </c>
      <c r="AX374" t="str">
        <f>""</f>
        <v/>
      </c>
      <c r="AY374" t="s">
        <v>84</v>
      </c>
      <c r="BA374" t="s">
        <v>80</v>
      </c>
      <c r="BB374" t="s">
        <v>79</v>
      </c>
      <c r="BD374" t="s">
        <v>79</v>
      </c>
      <c r="BG374" t="s">
        <v>82</v>
      </c>
      <c r="BH374">
        <v>12</v>
      </c>
      <c r="BI374" t="s">
        <v>692</v>
      </c>
      <c r="BJ374" t="s">
        <v>693</v>
      </c>
      <c r="BK374" t="str">
        <f>"Chalan Pale Arnold, Gualo Rai Village"</f>
        <v>Chalan Pale Arnold, Gualo Rai Village</v>
      </c>
      <c r="BL374" t="str">
        <f>"Beach Road, Garapan Village"</f>
        <v>Beach Road, Garapan Village</v>
      </c>
      <c r="BM374" t="str">
        <f t="shared" si="234"/>
        <v>Saipan</v>
      </c>
      <c r="BO374" t="s">
        <v>83</v>
      </c>
      <c r="BP374" s="4" t="str">
        <f t="shared" si="225"/>
        <v>96950</v>
      </c>
      <c r="BQ374" t="s">
        <v>79</v>
      </c>
      <c r="BR374" t="str">
        <f>"35-1012.00"</f>
        <v>35-1012.00</v>
      </c>
      <c r="BS374" t="s">
        <v>694</v>
      </c>
      <c r="BT374" s="3">
        <v>9.75</v>
      </c>
      <c r="BU374" t="s">
        <v>80</v>
      </c>
      <c r="BV374" t="s">
        <v>90</v>
      </c>
      <c r="BW374" t="s">
        <v>92</v>
      </c>
      <c r="BZ374" s="1">
        <v>45107</v>
      </c>
    </row>
    <row r="375" spans="1:78" ht="15" customHeight="1" x14ac:dyDescent="0.25">
      <c r="A375" t="s">
        <v>695</v>
      </c>
      <c r="B375" t="s">
        <v>94</v>
      </c>
      <c r="C375" s="1">
        <v>44831</v>
      </c>
      <c r="D375" s="1">
        <v>44873</v>
      </c>
      <c r="H375" t="s">
        <v>78</v>
      </c>
      <c r="I375" t="str">
        <f>"MENDOZA"</f>
        <v>MENDOZA</v>
      </c>
      <c r="J375" t="str">
        <f>"NARME"</f>
        <v>NARME</v>
      </c>
      <c r="K375" t="str">
        <f>"NARCISO"</f>
        <v>NARCISO</v>
      </c>
      <c r="L375" t="str">
        <f>"COMPUTER SUPPORT SPECIALIST"</f>
        <v>COMPUTER SUPPORT SPECIALIST</v>
      </c>
      <c r="M375" t="str">
        <f>"P.O. BOX 500575"</f>
        <v>P.O. BOX 500575</v>
      </c>
      <c r="N375" t="str">
        <f>"RJ BUILDING STE #6 CHALAN MONSIGNOR GUERRERO ROAD, DANDAN"</f>
        <v>RJ BUILDING STE #6 CHALAN MONSIGNOR GUERRERO ROAD, DANDAN</v>
      </c>
      <c r="O375" t="str">
        <f>"SAIPAN"</f>
        <v>SAIPAN</v>
      </c>
      <c r="P375" t="str">
        <f t="shared" si="221"/>
        <v>MP</v>
      </c>
      <c r="Q375" s="4" t="str">
        <f t="shared" si="223"/>
        <v>96950</v>
      </c>
      <c r="R375" t="str">
        <f t="shared" si="202"/>
        <v>UNITED STATES OF AMERICA</v>
      </c>
      <c r="S375" t="str">
        <f t="shared" si="227"/>
        <v>CNMI</v>
      </c>
      <c r="T375" s="5" t="str">
        <f t="shared" si="228"/>
        <v>16702358763</v>
      </c>
      <c r="U375" t="str">
        <f>""</f>
        <v/>
      </c>
      <c r="V375" s="5" t="str">
        <f>""</f>
        <v/>
      </c>
      <c r="W375" t="str">
        <f t="shared" si="229"/>
        <v>rjcorporation670@gmail.com</v>
      </c>
      <c r="X375" t="str">
        <f t="shared" si="230"/>
        <v>RJ Corporation</v>
      </c>
      <c r="Y375" t="str">
        <f>"Property Rental, Manpower Services, Landscaping"</f>
        <v>Property Rental, Manpower Services, Landscaping</v>
      </c>
      <c r="Z375" t="str">
        <f t="shared" si="231"/>
        <v>P.O. Box 500575</v>
      </c>
      <c r="AA375" t="str">
        <f>"RJ BUILDING STE #6 CHALAN MONSIGNOR GUERRERO ROAD, DANDAN"</f>
        <v>RJ BUILDING STE #6 CHALAN MONSIGNOR GUERRERO ROAD, DANDAN</v>
      </c>
      <c r="AB375" t="str">
        <f t="shared" si="226"/>
        <v>Saipan</v>
      </c>
      <c r="AC375" t="str">
        <f t="shared" si="222"/>
        <v>MP</v>
      </c>
      <c r="AD375" t="str">
        <f t="shared" si="224"/>
        <v>96950</v>
      </c>
      <c r="AE375" t="str">
        <f t="shared" si="204"/>
        <v>UNITED STATES OF AMERICA</v>
      </c>
      <c r="AF375" t="str">
        <f t="shared" si="232"/>
        <v>CNMI</v>
      </c>
      <c r="AG375" s="4" t="str">
        <f t="shared" si="233"/>
        <v>16702358763</v>
      </c>
      <c r="AH375" t="str">
        <f>""</f>
        <v/>
      </c>
      <c r="AI375" t="str">
        <f>"561320"</f>
        <v>561320</v>
      </c>
      <c r="AJ375" t="s">
        <v>79</v>
      </c>
      <c r="AK375" t="s">
        <v>79</v>
      </c>
      <c r="AL375" t="s">
        <v>80</v>
      </c>
      <c r="AM375" t="s">
        <v>79</v>
      </c>
      <c r="AP375" t="str">
        <f>"FAST FOOD WORKER"</f>
        <v>FAST FOOD WORKER</v>
      </c>
      <c r="AQ375" t="str">
        <f>"35-3023.00"</f>
        <v>35-3023.00</v>
      </c>
      <c r="AR375" t="str">
        <f>"Fast Food and Counter Workers"</f>
        <v>Fast Food and Counter Workers</v>
      </c>
      <c r="AS375" t="str">
        <f>"GENERAL MANAGER"</f>
        <v>GENERAL MANAGER</v>
      </c>
      <c r="AT375" t="s">
        <v>79</v>
      </c>
      <c r="AU375" t="str">
        <f>""</f>
        <v/>
      </c>
      <c r="AV375" t="str">
        <f>""</f>
        <v/>
      </c>
      <c r="AW375" t="s">
        <v>79</v>
      </c>
      <c r="AX375" t="str">
        <f>""</f>
        <v/>
      </c>
      <c r="AY375" t="s">
        <v>84</v>
      </c>
      <c r="BA375" t="s">
        <v>80</v>
      </c>
      <c r="BB375" t="s">
        <v>79</v>
      </c>
      <c r="BD375" t="s">
        <v>79</v>
      </c>
      <c r="BG375" t="s">
        <v>82</v>
      </c>
      <c r="BH375">
        <v>3</v>
      </c>
      <c r="BI375" t="s">
        <v>696</v>
      </c>
      <c r="BJ375" t="s">
        <v>697</v>
      </c>
      <c r="BK375" t="str">
        <f>"Chalan Pale Arnold, Gualo Rai Village"</f>
        <v>Chalan Pale Arnold, Gualo Rai Village</v>
      </c>
      <c r="BL375" t="str">
        <f>"Beach Road, Garapan Village"</f>
        <v>Beach Road, Garapan Village</v>
      </c>
      <c r="BM375" t="str">
        <f t="shared" si="234"/>
        <v>Saipan</v>
      </c>
      <c r="BO375" t="s">
        <v>83</v>
      </c>
      <c r="BP375" s="4" t="str">
        <f t="shared" si="225"/>
        <v>96950</v>
      </c>
      <c r="BQ375" t="s">
        <v>79</v>
      </c>
      <c r="BR375" t="str">
        <f>"35-3023.00"</f>
        <v>35-3023.00</v>
      </c>
      <c r="BS375" t="s">
        <v>105</v>
      </c>
      <c r="BT375" s="3">
        <v>7.92</v>
      </c>
      <c r="BU375" t="s">
        <v>80</v>
      </c>
      <c r="BV375" t="s">
        <v>90</v>
      </c>
      <c r="BW375" t="s">
        <v>92</v>
      </c>
      <c r="BZ375" s="1">
        <v>45107</v>
      </c>
    </row>
    <row r="376" spans="1:78" ht="15" customHeight="1" x14ac:dyDescent="0.25">
      <c r="A376" t="s">
        <v>698</v>
      </c>
      <c r="B376" t="s">
        <v>94</v>
      </c>
      <c r="C376" s="1">
        <v>44831</v>
      </c>
      <c r="D376" s="1">
        <v>44873</v>
      </c>
      <c r="H376" t="s">
        <v>78</v>
      </c>
      <c r="I376" t="str">
        <f>"Ham"</f>
        <v>Ham</v>
      </c>
      <c r="J376" t="str">
        <f>"Jun"</f>
        <v>Jun</v>
      </c>
      <c r="K376" t="str">
        <f>""</f>
        <v/>
      </c>
      <c r="L376" t="str">
        <f>"Human Resources Manager"</f>
        <v>Human Resources Manager</v>
      </c>
      <c r="M376" t="str">
        <f>"PO Box 500066"</f>
        <v>PO Box 500066</v>
      </c>
      <c r="N376" t="str">
        <f>""</f>
        <v/>
      </c>
      <c r="O376" t="str">
        <f>"Saipan"</f>
        <v>Saipan</v>
      </c>
      <c r="P376" t="str">
        <f t="shared" si="221"/>
        <v>MP</v>
      </c>
      <c r="Q376" s="4" t="str">
        <f t="shared" si="223"/>
        <v>96950</v>
      </c>
      <c r="R376" t="str">
        <f t="shared" si="202"/>
        <v>UNITED STATES OF AMERICA</v>
      </c>
      <c r="S376" t="str">
        <f>""</f>
        <v/>
      </c>
      <c r="T376" s="5" t="str">
        <f>"16702345900"</f>
        <v>16702345900</v>
      </c>
      <c r="U376" t="str">
        <f>"574"</f>
        <v>574</v>
      </c>
      <c r="V376" s="5" t="str">
        <f>""</f>
        <v/>
      </c>
      <c r="W376" t="str">
        <f>"junham@hanwha.com"</f>
        <v>junham@hanwha.com</v>
      </c>
      <c r="X376" t="str">
        <f>"World Corporation"</f>
        <v>World Corporation</v>
      </c>
      <c r="Y376" t="str">
        <f>"Saipan World Resort"</f>
        <v>Saipan World Resort</v>
      </c>
      <c r="Z376" t="str">
        <f>"PO Box 500066"</f>
        <v>PO Box 500066</v>
      </c>
      <c r="AA376" t="str">
        <f>""</f>
        <v/>
      </c>
      <c r="AB376" t="str">
        <f t="shared" si="226"/>
        <v>Saipan</v>
      </c>
      <c r="AC376" t="str">
        <f t="shared" si="222"/>
        <v>MP</v>
      </c>
      <c r="AD376" t="str">
        <f t="shared" si="224"/>
        <v>96950</v>
      </c>
      <c r="AE376" t="str">
        <f t="shared" si="204"/>
        <v>UNITED STATES OF AMERICA</v>
      </c>
      <c r="AF376" t="str">
        <f>""</f>
        <v/>
      </c>
      <c r="AG376" s="4" t="str">
        <f>"16702345900"</f>
        <v>16702345900</v>
      </c>
      <c r="AH376" t="str">
        <f>"574"</f>
        <v>574</v>
      </c>
      <c r="AI376" t="str">
        <f>"721110"</f>
        <v>721110</v>
      </c>
      <c r="AJ376" t="s">
        <v>79</v>
      </c>
      <c r="AK376" t="s">
        <v>79</v>
      </c>
      <c r="AL376" t="s">
        <v>80</v>
      </c>
      <c r="AM376" t="s">
        <v>79</v>
      </c>
      <c r="AP376" t="str">
        <f>"Maintenance"</f>
        <v>Maintenance</v>
      </c>
      <c r="AQ376" t="str">
        <f>"49-9071.00"</f>
        <v>49-9071.00</v>
      </c>
      <c r="AR376" t="str">
        <f>"Maintenance and Repair Workers, General"</f>
        <v>Maintenance and Repair Workers, General</v>
      </c>
      <c r="AS376" t="str">
        <f>"Maintenance Supervisor"</f>
        <v>Maintenance Supervisor</v>
      </c>
      <c r="AT376" t="s">
        <v>79</v>
      </c>
      <c r="AU376" t="str">
        <f>""</f>
        <v/>
      </c>
      <c r="AV376" t="str">
        <f>""</f>
        <v/>
      </c>
      <c r="AW376" t="s">
        <v>79</v>
      </c>
      <c r="AX376" t="str">
        <f>""</f>
        <v/>
      </c>
      <c r="AY376" t="s">
        <v>84</v>
      </c>
      <c r="BA376" t="s">
        <v>119</v>
      </c>
      <c r="BB376" t="s">
        <v>79</v>
      </c>
      <c r="BD376" t="s">
        <v>79</v>
      </c>
      <c r="BG376" t="s">
        <v>82</v>
      </c>
      <c r="BH376">
        <v>24</v>
      </c>
      <c r="BI376" t="s">
        <v>699</v>
      </c>
      <c r="BJ376" t="s">
        <v>119</v>
      </c>
      <c r="BK376" t="str">
        <f>"Beach Road Susupe"</f>
        <v>Beach Road Susupe</v>
      </c>
      <c r="BL376" t="str">
        <f>""</f>
        <v/>
      </c>
      <c r="BM376" t="str">
        <f t="shared" si="234"/>
        <v>Saipan</v>
      </c>
      <c r="BO376" t="s">
        <v>83</v>
      </c>
      <c r="BP376" s="4" t="str">
        <f t="shared" si="225"/>
        <v>96950</v>
      </c>
      <c r="BQ376" t="s">
        <v>79</v>
      </c>
      <c r="BR376" t="str">
        <f>"49-9071.00"</f>
        <v>49-9071.00</v>
      </c>
      <c r="BS376" t="s">
        <v>146</v>
      </c>
      <c r="BT376" s="3">
        <v>9.19</v>
      </c>
      <c r="BU376" t="s">
        <v>80</v>
      </c>
      <c r="BV376" t="s">
        <v>90</v>
      </c>
      <c r="BW376" t="s">
        <v>92</v>
      </c>
      <c r="BZ376" s="1">
        <v>45107</v>
      </c>
    </row>
    <row r="377" spans="1:78" ht="15" customHeight="1" x14ac:dyDescent="0.25">
      <c r="A377" t="s">
        <v>639</v>
      </c>
      <c r="B377" t="s">
        <v>94</v>
      </c>
      <c r="C377" s="1">
        <v>44830</v>
      </c>
      <c r="D377" s="1">
        <v>44872</v>
      </c>
      <c r="H377" t="s">
        <v>78</v>
      </c>
      <c r="I377" t="str">
        <f>"Oralllo"</f>
        <v>Oralllo</v>
      </c>
      <c r="J377" t="str">
        <f>"Camille"</f>
        <v>Camille</v>
      </c>
      <c r="K377" t="str">
        <f>""</f>
        <v/>
      </c>
      <c r="L377" t="str">
        <f>"Human Resources Officer"</f>
        <v>Human Resources Officer</v>
      </c>
      <c r="M377" t="str">
        <f>"P.O. Box 500369"</f>
        <v>P.O. Box 500369</v>
      </c>
      <c r="N377" t="str">
        <f>"1899 Beach Road, Susupe Village"</f>
        <v>1899 Beach Road, Susupe Village</v>
      </c>
      <c r="O377" t="str">
        <f>"Saipan"</f>
        <v>Saipan</v>
      </c>
      <c r="P377" t="str">
        <f t="shared" si="221"/>
        <v>MP</v>
      </c>
      <c r="Q377" s="4" t="str">
        <f t="shared" si="223"/>
        <v>96950</v>
      </c>
      <c r="R377" t="str">
        <f t="shared" si="202"/>
        <v>UNITED STATES OF AMERICA</v>
      </c>
      <c r="S377" t="str">
        <f>""</f>
        <v/>
      </c>
      <c r="T377" s="5" t="str">
        <f>"16702346601"</f>
        <v>16702346601</v>
      </c>
      <c r="U377" t="str">
        <f>"711"</f>
        <v>711</v>
      </c>
      <c r="V377" s="5" t="str">
        <f>""</f>
        <v/>
      </c>
      <c r="W377" t="str">
        <f>"camille.orallo@saipan.travel"</f>
        <v>camille.orallo@saipan.travel</v>
      </c>
      <c r="X377" t="str">
        <f>"Asia Pacific Hotels Inc."</f>
        <v>Asia Pacific Hotels Inc.</v>
      </c>
      <c r="Y377" t="str">
        <f>"Kanoa Resort Saipan"</f>
        <v>Kanoa Resort Saipan</v>
      </c>
      <c r="Z377" t="str">
        <f>"P.O. Box 500369"</f>
        <v>P.O. Box 500369</v>
      </c>
      <c r="AA377" t="str">
        <f>"1899 Beach Road, Susupe Village"</f>
        <v>1899 Beach Road, Susupe Village</v>
      </c>
      <c r="AB377" t="str">
        <f t="shared" si="226"/>
        <v>Saipan</v>
      </c>
      <c r="AC377" t="str">
        <f t="shared" si="222"/>
        <v>MP</v>
      </c>
      <c r="AD377" t="str">
        <f t="shared" si="224"/>
        <v>96950</v>
      </c>
      <c r="AE377" t="str">
        <f t="shared" si="204"/>
        <v>UNITED STATES OF AMERICA</v>
      </c>
      <c r="AF377" t="str">
        <f>""</f>
        <v/>
      </c>
      <c r="AG377" s="4" t="str">
        <f>"16702346601"</f>
        <v>16702346601</v>
      </c>
      <c r="AH377" t="str">
        <f>"711"</f>
        <v>711</v>
      </c>
      <c r="AI377" t="str">
        <f>"72111"</f>
        <v>72111</v>
      </c>
      <c r="AJ377" t="s">
        <v>79</v>
      </c>
      <c r="AK377" t="s">
        <v>79</v>
      </c>
      <c r="AL377" t="s">
        <v>80</v>
      </c>
      <c r="AM377" t="s">
        <v>79</v>
      </c>
      <c r="AP377" t="str">
        <f>"General Maintenance Worker"</f>
        <v>General Maintenance Worker</v>
      </c>
      <c r="AQ377" t="str">
        <f>"49-9071.00"</f>
        <v>49-9071.00</v>
      </c>
      <c r="AR377" t="str">
        <f>"Maintenance and Repair Workers, General"</f>
        <v>Maintenance and Repair Workers, General</v>
      </c>
      <c r="AS377" t="str">
        <f>"Power Plant Maintenance Manager"</f>
        <v>Power Plant Maintenance Manager</v>
      </c>
      <c r="AT377" t="s">
        <v>79</v>
      </c>
      <c r="AU377" t="str">
        <f>""</f>
        <v/>
      </c>
      <c r="AV377" t="str">
        <f>""</f>
        <v/>
      </c>
      <c r="AW377" t="s">
        <v>79</v>
      </c>
      <c r="AX377" t="str">
        <f>""</f>
        <v/>
      </c>
      <c r="AY377" t="s">
        <v>84</v>
      </c>
      <c r="BA377" t="s">
        <v>80</v>
      </c>
      <c r="BB377" t="s">
        <v>79</v>
      </c>
      <c r="BD377" t="s">
        <v>79</v>
      </c>
      <c r="BG377" t="s">
        <v>82</v>
      </c>
      <c r="BH377">
        <v>12</v>
      </c>
      <c r="BI377" t="s">
        <v>524</v>
      </c>
      <c r="BJ377" t="s">
        <v>640</v>
      </c>
      <c r="BK377" t="str">
        <f>"Asia Pacific Hotels Inc. dba Kanoa Resort Saipan"</f>
        <v>Asia Pacific Hotels Inc. dba Kanoa Resort Saipan</v>
      </c>
      <c r="BL377" t="str">
        <f>"1899 Beach Road, Susupe Village"</f>
        <v>1899 Beach Road, Susupe Village</v>
      </c>
      <c r="BM377" t="str">
        <f t="shared" si="234"/>
        <v>Saipan</v>
      </c>
      <c r="BO377" t="s">
        <v>83</v>
      </c>
      <c r="BP377" s="4" t="str">
        <f t="shared" si="225"/>
        <v>96950</v>
      </c>
      <c r="BQ377" t="s">
        <v>79</v>
      </c>
      <c r="BR377" t="str">
        <f>"49-9071.00"</f>
        <v>49-9071.00</v>
      </c>
      <c r="BS377" t="s">
        <v>146</v>
      </c>
      <c r="BT377" s="3">
        <v>9.19</v>
      </c>
      <c r="BU377" t="s">
        <v>80</v>
      </c>
      <c r="BV377" t="s">
        <v>90</v>
      </c>
      <c r="BW377" t="s">
        <v>92</v>
      </c>
      <c r="BZ377" s="1">
        <v>45107</v>
      </c>
    </row>
    <row r="378" spans="1:78" ht="15" customHeight="1" x14ac:dyDescent="0.25">
      <c r="A378" t="s">
        <v>641</v>
      </c>
      <c r="B378" t="s">
        <v>94</v>
      </c>
      <c r="C378" s="1">
        <v>44830</v>
      </c>
      <c r="D378" s="1">
        <v>44872</v>
      </c>
      <c r="H378" t="s">
        <v>78</v>
      </c>
      <c r="I378" t="str">
        <f>"ZHANG"</f>
        <v>ZHANG</v>
      </c>
      <c r="J378" t="str">
        <f>"HUAYING"</f>
        <v>HUAYING</v>
      </c>
      <c r="K378" t="str">
        <f>""</f>
        <v/>
      </c>
      <c r="L378" t="str">
        <f>"President"</f>
        <v>President</v>
      </c>
      <c r="M378" t="str">
        <f>"PASEO DE MARIANAS"</f>
        <v>PASEO DE MARIANAS</v>
      </c>
      <c r="N378" t="str">
        <f>""</f>
        <v/>
      </c>
      <c r="O378" t="str">
        <f>"SAIPAN"</f>
        <v>SAIPAN</v>
      </c>
      <c r="P378" t="str">
        <f t="shared" si="221"/>
        <v>MP</v>
      </c>
      <c r="Q378" s="4" t="str">
        <f t="shared" si="223"/>
        <v>96950</v>
      </c>
      <c r="R378" t="str">
        <f t="shared" si="202"/>
        <v>UNITED STATES OF AMERICA</v>
      </c>
      <c r="S378" t="str">
        <f>""</f>
        <v/>
      </c>
      <c r="T378" s="5" t="str">
        <f>"16702331818"</f>
        <v>16702331818</v>
      </c>
      <c r="U378" t="str">
        <f>""</f>
        <v/>
      </c>
      <c r="V378" s="5" t="str">
        <f>""</f>
        <v/>
      </c>
      <c r="W378" t="str">
        <f>"hanamitsuhotel@gmail.com"</f>
        <v>hanamitsuhotel@gmail.com</v>
      </c>
      <c r="X378" t="str">
        <f>"Amy International Corporation"</f>
        <v>Amy International Corporation</v>
      </c>
      <c r="Y378" t="str">
        <f>"Hanamitsu Hotel &amp; Spa"</f>
        <v>Hanamitsu Hotel &amp; Spa</v>
      </c>
      <c r="Z378" t="str">
        <f>"PASEO DE MARIANAS"</f>
        <v>PASEO DE MARIANAS</v>
      </c>
      <c r="AA378" t="str">
        <f>""</f>
        <v/>
      </c>
      <c r="AB378" t="str">
        <f>"Select"</f>
        <v>Select</v>
      </c>
      <c r="AC378" t="str">
        <f t="shared" si="222"/>
        <v>MP</v>
      </c>
      <c r="AD378" t="str">
        <f t="shared" si="224"/>
        <v>96950</v>
      </c>
      <c r="AE378" t="str">
        <f t="shared" si="204"/>
        <v>UNITED STATES OF AMERICA</v>
      </c>
      <c r="AF378" t="str">
        <f>""</f>
        <v/>
      </c>
      <c r="AG378" s="4" t="str">
        <f>"16702331818"</f>
        <v>16702331818</v>
      </c>
      <c r="AH378" t="str">
        <f>""</f>
        <v/>
      </c>
      <c r="AI378" t="str">
        <f>"812113"</f>
        <v>812113</v>
      </c>
      <c r="AJ378" t="s">
        <v>79</v>
      </c>
      <c r="AK378" t="s">
        <v>79</v>
      </c>
      <c r="AL378" t="s">
        <v>80</v>
      </c>
      <c r="AM378" t="s">
        <v>79</v>
      </c>
      <c r="AP378" t="str">
        <f>"Manicurist"</f>
        <v>Manicurist</v>
      </c>
      <c r="AQ378" t="str">
        <f>"39-5092.00"</f>
        <v>39-5092.00</v>
      </c>
      <c r="AR378" t="str">
        <f>"Manicurists and Pedicurists"</f>
        <v>Manicurists and Pedicurists</v>
      </c>
      <c r="AS378" t="str">
        <f>""</f>
        <v/>
      </c>
      <c r="AT378" t="s">
        <v>79</v>
      </c>
      <c r="AU378" t="str">
        <f>""</f>
        <v/>
      </c>
      <c r="AV378" t="str">
        <f>""</f>
        <v/>
      </c>
      <c r="AW378" t="s">
        <v>79</v>
      </c>
      <c r="AX378" t="str">
        <f>""</f>
        <v/>
      </c>
      <c r="AY378" t="s">
        <v>81</v>
      </c>
      <c r="BA378" t="s">
        <v>80</v>
      </c>
      <c r="BB378" t="s">
        <v>79</v>
      </c>
      <c r="BD378" t="s">
        <v>79</v>
      </c>
      <c r="BG378" t="s">
        <v>82</v>
      </c>
      <c r="BH378">
        <v>12</v>
      </c>
      <c r="BI378" t="s">
        <v>642</v>
      </c>
      <c r="BJ378" s="2" t="s">
        <v>643</v>
      </c>
      <c r="BK378" t="str">
        <f>"Paseo De Marianas, Garapan"</f>
        <v>Paseo De Marianas, Garapan</v>
      </c>
      <c r="BL378" t="str">
        <f>""</f>
        <v/>
      </c>
      <c r="BM378" t="str">
        <f t="shared" si="234"/>
        <v>Saipan</v>
      </c>
      <c r="BO378" t="s">
        <v>83</v>
      </c>
      <c r="BP378" s="4" t="str">
        <f t="shared" si="225"/>
        <v>96950</v>
      </c>
      <c r="BQ378" t="s">
        <v>79</v>
      </c>
      <c r="BR378" t="str">
        <f>"39-5092.00"</f>
        <v>39-5092.00</v>
      </c>
      <c r="BS378" t="s">
        <v>644</v>
      </c>
      <c r="BT378" s="3">
        <v>7.85</v>
      </c>
      <c r="BU378" t="s">
        <v>80</v>
      </c>
      <c r="BV378" t="s">
        <v>90</v>
      </c>
      <c r="BW378" t="s">
        <v>92</v>
      </c>
      <c r="BZ378" s="1">
        <v>45107</v>
      </c>
    </row>
    <row r="379" spans="1:78" ht="15" customHeight="1" x14ac:dyDescent="0.25">
      <c r="A379" t="s">
        <v>645</v>
      </c>
      <c r="B379" t="s">
        <v>94</v>
      </c>
      <c r="C379" s="1">
        <v>44830</v>
      </c>
      <c r="D379" s="1">
        <v>44872</v>
      </c>
      <c r="H379" t="s">
        <v>78</v>
      </c>
      <c r="I379" t="str">
        <f>"BATALLONES"</f>
        <v>BATALLONES</v>
      </c>
      <c r="J379" t="str">
        <f>"RENATO "</f>
        <v xml:space="preserve">RENATO </v>
      </c>
      <c r="K379" t="str">
        <f>"PRADO"</f>
        <v>PRADO</v>
      </c>
      <c r="L379" t="str">
        <f>"PPESIDENT"</f>
        <v>PPESIDENT</v>
      </c>
      <c r="M379" t="str">
        <f>"P.O. BOX 504029, "</f>
        <v xml:space="preserve">P.O. BOX 504029, </v>
      </c>
      <c r="N379" t="str">
        <f>""</f>
        <v/>
      </c>
      <c r="O379" t="str">
        <f>"SAIPAN "</f>
        <v xml:space="preserve">SAIPAN </v>
      </c>
      <c r="P379" t="str">
        <f t="shared" si="221"/>
        <v>MP</v>
      </c>
      <c r="Q379" s="4" t="str">
        <f t="shared" si="223"/>
        <v>96950</v>
      </c>
      <c r="R379" t="str">
        <f t="shared" si="202"/>
        <v>UNITED STATES OF AMERICA</v>
      </c>
      <c r="S379" t="str">
        <f>""</f>
        <v/>
      </c>
      <c r="T379" s="5" t="str">
        <f>"16707882869"</f>
        <v>16707882869</v>
      </c>
      <c r="U379" t="str">
        <f>""</f>
        <v/>
      </c>
      <c r="V379" s="5" t="str">
        <f>""</f>
        <v/>
      </c>
      <c r="W379" t="str">
        <f>"uer.saian@gmail.com"</f>
        <v>uer.saian@gmail.com</v>
      </c>
      <c r="X379" t="str">
        <f>"United Equipment Rental Company Corp. "</f>
        <v xml:space="preserve">United Equipment Rental Company Corp. </v>
      </c>
      <c r="Y379" t="str">
        <f>""</f>
        <v/>
      </c>
      <c r="Z379" t="str">
        <f>"P.O. Box 504029,"</f>
        <v>P.O. Box 504029,</v>
      </c>
      <c r="AA379" t="str">
        <f>""</f>
        <v/>
      </c>
      <c r="AB379" t="str">
        <f>"Saipan "</f>
        <v xml:space="preserve">Saipan </v>
      </c>
      <c r="AC379" t="str">
        <f t="shared" si="222"/>
        <v>MP</v>
      </c>
      <c r="AD379" t="str">
        <f t="shared" si="224"/>
        <v>96950</v>
      </c>
      <c r="AE379" t="str">
        <f t="shared" si="204"/>
        <v>UNITED STATES OF AMERICA</v>
      </c>
      <c r="AF379" t="str">
        <f>""</f>
        <v/>
      </c>
      <c r="AG379" s="4" t="str">
        <f>"16702331199"</f>
        <v>16702331199</v>
      </c>
      <c r="AH379" t="str">
        <f>""</f>
        <v/>
      </c>
      <c r="AI379" t="str">
        <f>"5323"</f>
        <v>5323</v>
      </c>
      <c r="AJ379" t="s">
        <v>79</v>
      </c>
      <c r="AK379" t="s">
        <v>79</v>
      </c>
      <c r="AL379" t="s">
        <v>80</v>
      </c>
      <c r="AM379" t="s">
        <v>79</v>
      </c>
      <c r="AP379" t="str">
        <f>"Operating  Engineers &amp;Other Construction Equipment Operators"</f>
        <v>Operating  Engineers &amp;Other Construction Equipment Operators</v>
      </c>
      <c r="AQ379" t="str">
        <f>"47-2073.00"</f>
        <v>47-2073.00</v>
      </c>
      <c r="AR379" t="str">
        <f>"Operating Engineers and Other Construction Equipment Operators"</f>
        <v>Operating Engineers and Other Construction Equipment Operators</v>
      </c>
      <c r="AS379" t="str">
        <f>"Manager"</f>
        <v>Manager</v>
      </c>
      <c r="AT379" t="s">
        <v>79</v>
      </c>
      <c r="AU379" t="str">
        <f>""</f>
        <v/>
      </c>
      <c r="AV379" t="str">
        <f>""</f>
        <v/>
      </c>
      <c r="AW379" t="s">
        <v>79</v>
      </c>
      <c r="AX379" t="str">
        <f>""</f>
        <v/>
      </c>
      <c r="AY379" t="s">
        <v>84</v>
      </c>
      <c r="BA379" t="s">
        <v>80</v>
      </c>
      <c r="BB379" t="s">
        <v>79</v>
      </c>
      <c r="BD379" t="s">
        <v>79</v>
      </c>
      <c r="BG379" t="s">
        <v>82</v>
      </c>
      <c r="BH379">
        <v>12</v>
      </c>
      <c r="BI379" t="s">
        <v>646</v>
      </c>
      <c r="BJ379" t="s">
        <v>647</v>
      </c>
      <c r="BK379" t="str">
        <f>"Salvinia Ln, Lower base"</f>
        <v>Salvinia Ln, Lower base</v>
      </c>
      <c r="BL379" t="str">
        <f>""</f>
        <v/>
      </c>
      <c r="BM379" t="str">
        <f>"Saipan "</f>
        <v xml:space="preserve">Saipan </v>
      </c>
      <c r="BO379" t="s">
        <v>83</v>
      </c>
      <c r="BP379" s="4" t="str">
        <f t="shared" si="225"/>
        <v>96950</v>
      </c>
      <c r="BQ379" t="s">
        <v>79</v>
      </c>
      <c r="BR379" t="str">
        <f>"47-2073.00"</f>
        <v>47-2073.00</v>
      </c>
      <c r="BS379" t="s">
        <v>609</v>
      </c>
      <c r="BT379" s="3">
        <v>10.23</v>
      </c>
      <c r="BU379" t="s">
        <v>80</v>
      </c>
      <c r="BV379" t="s">
        <v>90</v>
      </c>
      <c r="BW379" t="s">
        <v>92</v>
      </c>
      <c r="BZ379" s="1">
        <v>45107</v>
      </c>
    </row>
    <row r="380" spans="1:78" ht="15" customHeight="1" x14ac:dyDescent="0.25">
      <c r="A380" t="s">
        <v>648</v>
      </c>
      <c r="B380" t="s">
        <v>94</v>
      </c>
      <c r="C380" s="1">
        <v>44830</v>
      </c>
      <c r="D380" s="1">
        <v>44872</v>
      </c>
      <c r="H380" t="s">
        <v>78</v>
      </c>
      <c r="I380" t="str">
        <f>"BERNARDO"</f>
        <v>BERNARDO</v>
      </c>
      <c r="J380" t="str">
        <f>"FEDERICO JR"</f>
        <v>FEDERICO JR</v>
      </c>
      <c r="K380" t="str">
        <f>"SURATOS"</f>
        <v>SURATOS</v>
      </c>
      <c r="L380" t="str">
        <f>"MANAGING MEMBER"</f>
        <v>MANAGING MEMBER</v>
      </c>
      <c r="M380" t="str">
        <f>"316B Marianas Business Plaza"</f>
        <v>316B Marianas Business Plaza</v>
      </c>
      <c r="N380" t="str">
        <f>"Nauru Loop"</f>
        <v>Nauru Loop</v>
      </c>
      <c r="O380" t="str">
        <f>"Saipan"</f>
        <v>Saipan</v>
      </c>
      <c r="P380" t="str">
        <f t="shared" si="221"/>
        <v>MP</v>
      </c>
      <c r="Q380" s="4" t="str">
        <f t="shared" si="223"/>
        <v>96950</v>
      </c>
      <c r="R380" t="str">
        <f t="shared" si="202"/>
        <v>UNITED STATES OF AMERICA</v>
      </c>
      <c r="S380" t="str">
        <f>""</f>
        <v/>
      </c>
      <c r="T380" s="5" t="str">
        <f>"16702355912"</f>
        <v>16702355912</v>
      </c>
      <c r="U380" t="str">
        <f>""</f>
        <v/>
      </c>
      <c r="V380" s="5" t="str">
        <f>""</f>
        <v/>
      </c>
      <c r="W380" t="str">
        <f>"globalsourcingllc96950@gmail.com"</f>
        <v>globalsourcingllc96950@gmail.com</v>
      </c>
      <c r="X380" t="str">
        <f>"GLOBAL SOURCING LLC"</f>
        <v>GLOBAL SOURCING LLC</v>
      </c>
      <c r="Y380" t="str">
        <f>""</f>
        <v/>
      </c>
      <c r="Z380" t="str">
        <f>"P.O. BOX 505912"</f>
        <v>P.O. BOX 505912</v>
      </c>
      <c r="AA380" t="str">
        <f>""</f>
        <v/>
      </c>
      <c r="AB380" t="str">
        <f>"SAIPAN"</f>
        <v>SAIPAN</v>
      </c>
      <c r="AC380" t="str">
        <f t="shared" si="222"/>
        <v>MP</v>
      </c>
      <c r="AD380" t="str">
        <f t="shared" si="224"/>
        <v>96950</v>
      </c>
      <c r="AE380" t="str">
        <f t="shared" si="204"/>
        <v>UNITED STATES OF AMERICA</v>
      </c>
      <c r="AF380" t="str">
        <f>""</f>
        <v/>
      </c>
      <c r="AG380" s="4" t="str">
        <f>"16702355912"</f>
        <v>16702355912</v>
      </c>
      <c r="AH380" t="str">
        <f>""</f>
        <v/>
      </c>
      <c r="AI380" t="str">
        <f>"56132"</f>
        <v>56132</v>
      </c>
      <c r="AJ380" t="s">
        <v>79</v>
      </c>
      <c r="AK380" t="s">
        <v>79</v>
      </c>
      <c r="AL380" t="s">
        <v>80</v>
      </c>
      <c r="AM380" t="s">
        <v>79</v>
      </c>
      <c r="AP380" t="str">
        <f>"CHILDCARE WORKERS"</f>
        <v>CHILDCARE WORKERS</v>
      </c>
      <c r="AQ380" t="str">
        <f>"39-9011.00"</f>
        <v>39-9011.00</v>
      </c>
      <c r="AR380" t="str">
        <f>"Childcare Workers"</f>
        <v>Childcare Workers</v>
      </c>
      <c r="AS380" t="str">
        <f>"MANAGER"</f>
        <v>MANAGER</v>
      </c>
      <c r="AT380" t="s">
        <v>79</v>
      </c>
      <c r="AU380" t="str">
        <f>""</f>
        <v/>
      </c>
      <c r="AV380" t="str">
        <f>""</f>
        <v/>
      </c>
      <c r="AW380" t="s">
        <v>79</v>
      </c>
      <c r="AX380" t="str">
        <f>""</f>
        <v/>
      </c>
      <c r="AY380" t="s">
        <v>124</v>
      </c>
      <c r="BA380" t="s">
        <v>649</v>
      </c>
      <c r="BB380" t="s">
        <v>79</v>
      </c>
      <c r="BD380" t="s">
        <v>79</v>
      </c>
      <c r="BG380" t="s">
        <v>82</v>
      </c>
      <c r="BH380">
        <v>12</v>
      </c>
      <c r="BI380" t="s">
        <v>650</v>
      </c>
      <c r="BJ380" t="s">
        <v>651</v>
      </c>
      <c r="BK380" t="str">
        <f>"Marianas Business Plaza"</f>
        <v>Marianas Business Plaza</v>
      </c>
      <c r="BL380" t="str">
        <f>"Nauru Loop"</f>
        <v>Nauru Loop</v>
      </c>
      <c r="BM380" t="str">
        <f>"Saipan"</f>
        <v>Saipan</v>
      </c>
      <c r="BO380" t="s">
        <v>83</v>
      </c>
      <c r="BP380" s="4" t="str">
        <f t="shared" si="225"/>
        <v>96950</v>
      </c>
      <c r="BQ380" t="s">
        <v>79</v>
      </c>
      <c r="BR380" t="str">
        <f>"39-9011.01"</f>
        <v>39-9011.01</v>
      </c>
      <c r="BS380" t="s">
        <v>152</v>
      </c>
      <c r="BT380" s="3">
        <v>7.53</v>
      </c>
      <c r="BU380" t="s">
        <v>80</v>
      </c>
      <c r="BV380" t="s">
        <v>90</v>
      </c>
      <c r="BW380" t="s">
        <v>92</v>
      </c>
      <c r="BZ380" s="1">
        <v>45107</v>
      </c>
    </row>
    <row r="381" spans="1:78" ht="15" customHeight="1" x14ac:dyDescent="0.25">
      <c r="A381" t="s">
        <v>603</v>
      </c>
      <c r="B381" t="s">
        <v>94</v>
      </c>
      <c r="C381" s="1">
        <v>44829</v>
      </c>
      <c r="D381" s="1">
        <v>44869</v>
      </c>
      <c r="H381" t="s">
        <v>78</v>
      </c>
      <c r="I381" t="str">
        <f>"Belo"</f>
        <v>Belo</v>
      </c>
      <c r="J381" t="str">
        <f>"Reynhard"</f>
        <v>Reynhard</v>
      </c>
      <c r="K381" t="str">
        <f>"Masapol"</f>
        <v>Masapol</v>
      </c>
      <c r="L381" t="str">
        <f>"General Manager"</f>
        <v>General Manager</v>
      </c>
      <c r="M381" t="str">
        <f>"P. O. Box 506228"</f>
        <v>P. O. Box 506228</v>
      </c>
      <c r="N381" t="str">
        <f>"305A 3rd Floor, Marianas Business Plaza, Susupe"</f>
        <v>305A 3rd Floor, Marianas Business Plaza, Susupe</v>
      </c>
      <c r="O381" t="str">
        <f>"Saipan"</f>
        <v>Saipan</v>
      </c>
      <c r="P381" t="str">
        <f t="shared" si="221"/>
        <v>MP</v>
      </c>
      <c r="Q381" s="4" t="str">
        <f t="shared" si="223"/>
        <v>96950</v>
      </c>
      <c r="R381" t="str">
        <f t="shared" si="202"/>
        <v>UNITED STATES OF AMERICA</v>
      </c>
      <c r="S381" t="str">
        <f>""</f>
        <v/>
      </c>
      <c r="T381" s="5" t="str">
        <f>"16707885235"</f>
        <v>16707885235</v>
      </c>
      <c r="U381" t="str">
        <f>""</f>
        <v/>
      </c>
      <c r="V381" s="5" t="str">
        <f>""</f>
        <v/>
      </c>
      <c r="W381" t="str">
        <f>"GenesisEntLLC062020@gmail.com"</f>
        <v>GenesisEntLLC062020@gmail.com</v>
      </c>
      <c r="X381" t="str">
        <f>"Genesis Enterprises, LLC"</f>
        <v>Genesis Enterprises, LLC</v>
      </c>
      <c r="Y381" t="str">
        <f>""</f>
        <v/>
      </c>
      <c r="Z381" t="str">
        <f>"P. O. Box 506228 "</f>
        <v xml:space="preserve">P. O. Box 506228 </v>
      </c>
      <c r="AA381" t="str">
        <f>"305A 3rd Floor, Marianas Business Plaza, Susupe"</f>
        <v>305A 3rd Floor, Marianas Business Plaza, Susupe</v>
      </c>
      <c r="AB381" t="str">
        <f>"Saipan"</f>
        <v>Saipan</v>
      </c>
      <c r="AC381" t="str">
        <f t="shared" si="222"/>
        <v>MP</v>
      </c>
      <c r="AD381" t="str">
        <f t="shared" si="224"/>
        <v>96950</v>
      </c>
      <c r="AE381" t="str">
        <f t="shared" si="204"/>
        <v>UNITED STATES OF AMERICA</v>
      </c>
      <c r="AF381" t="str">
        <f>""</f>
        <v/>
      </c>
      <c r="AG381" s="4" t="str">
        <f>"16707885235"</f>
        <v>16707885235</v>
      </c>
      <c r="AH381" t="str">
        <f>""</f>
        <v/>
      </c>
      <c r="AI381" t="str">
        <f>"23611"</f>
        <v>23611</v>
      </c>
      <c r="AJ381" t="s">
        <v>79</v>
      </c>
      <c r="AK381" t="s">
        <v>79</v>
      </c>
      <c r="AL381" t="s">
        <v>80</v>
      </c>
      <c r="AM381" t="s">
        <v>79</v>
      </c>
      <c r="AP381" t="str">
        <f>"Maintenance Repair Workers, General"</f>
        <v>Maintenance Repair Workers, General</v>
      </c>
      <c r="AQ381" t="str">
        <f>"49-9098.00"</f>
        <v>49-9098.00</v>
      </c>
      <c r="AR381" t="str">
        <f>"Helpers--Installation, Maintenance, and Repair Workers"</f>
        <v>Helpers--Installation, Maintenance, and Repair Workers</v>
      </c>
      <c r="AS381" t="str">
        <f>"Foreman"</f>
        <v>Foreman</v>
      </c>
      <c r="AT381" t="s">
        <v>79</v>
      </c>
      <c r="AU381" t="str">
        <f>""</f>
        <v/>
      </c>
      <c r="AV381" t="str">
        <f>""</f>
        <v/>
      </c>
      <c r="AW381" t="s">
        <v>79</v>
      </c>
      <c r="AX381" t="str">
        <f>""</f>
        <v/>
      </c>
      <c r="AY381" t="s">
        <v>84</v>
      </c>
      <c r="BA381" t="s">
        <v>80</v>
      </c>
      <c r="BB381" t="s">
        <v>79</v>
      </c>
      <c r="BD381" t="s">
        <v>79</v>
      </c>
      <c r="BG381" t="s">
        <v>82</v>
      </c>
      <c r="BH381">
        <v>12</v>
      </c>
      <c r="BI381" t="s">
        <v>251</v>
      </c>
      <c r="BJ381" t="s">
        <v>604</v>
      </c>
      <c r="BK381" t="str">
        <f>"P. O. Box 506228"</f>
        <v>P. O. Box 506228</v>
      </c>
      <c r="BL381" t="str">
        <f>"305A 3rd Floor, Marianas Business Plaza, Susupe"</f>
        <v>305A 3rd Floor, Marianas Business Plaza, Susupe</v>
      </c>
      <c r="BM381" t="str">
        <f>"Saipan"</f>
        <v>Saipan</v>
      </c>
      <c r="BO381" t="s">
        <v>83</v>
      </c>
      <c r="BP381" s="4" t="str">
        <f t="shared" si="225"/>
        <v>96950</v>
      </c>
      <c r="BQ381" t="s">
        <v>79</v>
      </c>
      <c r="BR381" t="str">
        <f>"49-9071.00"</f>
        <v>49-9071.00</v>
      </c>
      <c r="BS381" t="s">
        <v>146</v>
      </c>
      <c r="BT381" s="3">
        <v>9.19</v>
      </c>
      <c r="BU381" t="s">
        <v>80</v>
      </c>
      <c r="BV381" t="s">
        <v>90</v>
      </c>
      <c r="BW381" t="s">
        <v>92</v>
      </c>
      <c r="BZ381" s="1">
        <v>45107</v>
      </c>
    </row>
    <row r="382" spans="1:78" ht="15" customHeight="1" x14ac:dyDescent="0.25">
      <c r="A382" t="s">
        <v>611</v>
      </c>
      <c r="B382" t="s">
        <v>94</v>
      </c>
      <c r="C382" s="1">
        <v>44829</v>
      </c>
      <c r="D382" s="1">
        <v>44869</v>
      </c>
      <c r="H382" t="s">
        <v>78</v>
      </c>
      <c r="I382" t="str">
        <f>"VILLACRUSIS "</f>
        <v xml:space="preserve">VILLACRUSIS </v>
      </c>
      <c r="J382" t="str">
        <f>"RUEL "</f>
        <v xml:space="preserve">RUEL </v>
      </c>
      <c r="K382" t="str">
        <f>"RARO "</f>
        <v xml:space="preserve">RARO </v>
      </c>
      <c r="L382" t="str">
        <f>"GENERAL MANAGER "</f>
        <v xml:space="preserve">GENERAL MANAGER </v>
      </c>
      <c r="M382" t="str">
        <f>"PO BOX 504974"</f>
        <v>PO BOX 504974</v>
      </c>
      <c r="N382" t="str">
        <f>""</f>
        <v/>
      </c>
      <c r="O382" t="str">
        <f>"SAIPAN "</f>
        <v xml:space="preserve">SAIPAN </v>
      </c>
      <c r="P382" t="str">
        <f t="shared" si="221"/>
        <v>MP</v>
      </c>
      <c r="Q382" s="4" t="str">
        <f t="shared" si="223"/>
        <v>96950</v>
      </c>
      <c r="R382" t="str">
        <f t="shared" si="202"/>
        <v>UNITED STATES OF AMERICA</v>
      </c>
      <c r="S382" t="str">
        <f>""</f>
        <v/>
      </c>
      <c r="T382" s="5" t="str">
        <f>"16702358778"</f>
        <v>16702358778</v>
      </c>
      <c r="U382" t="str">
        <f>""</f>
        <v/>
      </c>
      <c r="V382" s="5" t="str">
        <f>""</f>
        <v/>
      </c>
      <c r="W382" t="str">
        <f>"janebaes@rnvconstruction.com"</f>
        <v>janebaes@rnvconstruction.com</v>
      </c>
      <c r="X382" t="str">
        <f>"RJCL CORPORATION "</f>
        <v xml:space="preserve">RJCL CORPORATION </v>
      </c>
      <c r="Y382" t="str">
        <f>"RNV CONSTRUCTION "</f>
        <v xml:space="preserve">RNV CONSTRUCTION </v>
      </c>
      <c r="Z382" t="str">
        <f>"PO BOX 504974 "</f>
        <v xml:space="preserve">PO BOX 504974 </v>
      </c>
      <c r="AA382" t="str">
        <f>""</f>
        <v/>
      </c>
      <c r="AB382" t="str">
        <f>"SAIPAN "</f>
        <v xml:space="preserve">SAIPAN </v>
      </c>
      <c r="AC382" t="str">
        <f t="shared" si="222"/>
        <v>MP</v>
      </c>
      <c r="AD382" t="str">
        <f t="shared" si="224"/>
        <v>96950</v>
      </c>
      <c r="AE382" t="str">
        <f t="shared" si="204"/>
        <v>UNITED STATES OF AMERICA</v>
      </c>
      <c r="AF382" t="str">
        <f>""</f>
        <v/>
      </c>
      <c r="AG382" s="4" t="str">
        <f>"16702358778"</f>
        <v>16702358778</v>
      </c>
      <c r="AH382" t="str">
        <f>""</f>
        <v/>
      </c>
      <c r="AI382" t="str">
        <f>"23622"</f>
        <v>23622</v>
      </c>
      <c r="AJ382" t="s">
        <v>79</v>
      </c>
      <c r="AK382" t="s">
        <v>79</v>
      </c>
      <c r="AL382" t="s">
        <v>80</v>
      </c>
      <c r="AM382" t="s">
        <v>79</v>
      </c>
      <c r="AP382" t="str">
        <f>"CIVIL ENGINEERING TECHNICIAN "</f>
        <v xml:space="preserve">CIVIL ENGINEERING TECHNICIAN </v>
      </c>
      <c r="AQ382" t="str">
        <f>"17-3022.00"</f>
        <v>17-3022.00</v>
      </c>
      <c r="AR382" t="str">
        <f>"Civil Engineering Technologists and Technicians"</f>
        <v>Civil Engineering Technologists and Technicians</v>
      </c>
      <c r="AS382" t="str">
        <f>"N/A"</f>
        <v>N/A</v>
      </c>
      <c r="AT382" t="s">
        <v>79</v>
      </c>
      <c r="AU382" t="str">
        <f>""</f>
        <v/>
      </c>
      <c r="AV382" t="str">
        <f>""</f>
        <v/>
      </c>
      <c r="AW382" t="s">
        <v>79</v>
      </c>
      <c r="AX382" t="str">
        <f>""</f>
        <v/>
      </c>
      <c r="AY382" t="s">
        <v>124</v>
      </c>
      <c r="BA382" t="s">
        <v>80</v>
      </c>
      <c r="BB382" t="s">
        <v>79</v>
      </c>
      <c r="BD382" t="s">
        <v>79</v>
      </c>
      <c r="BG382" t="s">
        <v>82</v>
      </c>
      <c r="BH382">
        <v>24</v>
      </c>
      <c r="BI382" t="s">
        <v>612</v>
      </c>
      <c r="BJ382" t="s">
        <v>613</v>
      </c>
      <c r="BK382" t="str">
        <f>"BEACHROAD GARAPAN "</f>
        <v xml:space="preserve">BEACHROAD GARAPAN </v>
      </c>
      <c r="BL382" t="str">
        <f>""</f>
        <v/>
      </c>
      <c r="BM382" t="str">
        <f>"SAIPAN "</f>
        <v xml:space="preserve">SAIPAN </v>
      </c>
      <c r="BO382" t="s">
        <v>83</v>
      </c>
      <c r="BP382" s="4" t="str">
        <f t="shared" si="225"/>
        <v>96950</v>
      </c>
      <c r="BQ382" t="s">
        <v>79</v>
      </c>
      <c r="BR382" t="str">
        <f>"17-3022.00"</f>
        <v>17-3022.00</v>
      </c>
      <c r="BS382" t="s">
        <v>490</v>
      </c>
      <c r="BT382" s="3">
        <v>16.75</v>
      </c>
      <c r="BU382" t="s">
        <v>80</v>
      </c>
      <c r="BV382" t="s">
        <v>90</v>
      </c>
      <c r="BW382" t="s">
        <v>92</v>
      </c>
      <c r="BZ382" s="1">
        <v>45107</v>
      </c>
    </row>
    <row r="383" spans="1:78" ht="15" customHeight="1" x14ac:dyDescent="0.25">
      <c r="A383" t="s">
        <v>614</v>
      </c>
      <c r="B383" t="s">
        <v>94</v>
      </c>
      <c r="C383" s="1">
        <v>44829</v>
      </c>
      <c r="D383" s="1">
        <v>44869</v>
      </c>
      <c r="H383" t="s">
        <v>78</v>
      </c>
      <c r="I383" t="str">
        <f>"ASHRAFUZZAMAN"</f>
        <v>ASHRAFUZZAMAN</v>
      </c>
      <c r="J383" t="str">
        <f>"ASHRAFUZZAMAN"</f>
        <v>ASHRAFUZZAMAN</v>
      </c>
      <c r="K383" t="str">
        <f>""</f>
        <v/>
      </c>
      <c r="L383" t="str">
        <f>"SECRETARY"</f>
        <v>SECRETARY</v>
      </c>
      <c r="M383" t="str">
        <f>"ASUSENA AVE., GARAPAN"</f>
        <v>ASUSENA AVE., GARAPAN</v>
      </c>
      <c r="N383" t="str">
        <f>"P.O. BOX 503487"</f>
        <v>P.O. BOX 503487</v>
      </c>
      <c r="O383" t="str">
        <f>"SAIPAN"</f>
        <v>SAIPAN</v>
      </c>
      <c r="P383" t="str">
        <f t="shared" si="221"/>
        <v>MP</v>
      </c>
      <c r="Q383" s="4" t="str">
        <f t="shared" si="223"/>
        <v>96950</v>
      </c>
      <c r="R383" t="str">
        <f t="shared" si="202"/>
        <v>UNITED STATES OF AMERICA</v>
      </c>
      <c r="S383" t="str">
        <f>"N/A"</f>
        <v>N/A</v>
      </c>
      <c r="T383" s="5" t="str">
        <f>"16702876520"</f>
        <v>16702876520</v>
      </c>
      <c r="U383" t="str">
        <f>""</f>
        <v/>
      </c>
      <c r="V383" s="5" t="str">
        <f>""</f>
        <v/>
      </c>
      <c r="W383" t="str">
        <f>"ravinternational.corp@gmail.com"</f>
        <v>ravinternational.corp@gmail.com</v>
      </c>
      <c r="X383" t="str">
        <f>"R.A.V. INTERNATIONAL CORPORATION"</f>
        <v>R.A.V. INTERNATIONAL CORPORATION</v>
      </c>
      <c r="Y383" t="str">
        <f>""</f>
        <v/>
      </c>
      <c r="Z383" t="str">
        <f>"ASUSENA AVE., GARAPAN"</f>
        <v>ASUSENA AVE., GARAPAN</v>
      </c>
      <c r="AA383" t="str">
        <f>"P.O. BOX 503487"</f>
        <v>P.O. BOX 503487</v>
      </c>
      <c r="AB383" t="str">
        <f>"SAIPAN"</f>
        <v>SAIPAN</v>
      </c>
      <c r="AC383" t="str">
        <f t="shared" si="222"/>
        <v>MP</v>
      </c>
      <c r="AD383" t="str">
        <f t="shared" si="224"/>
        <v>96950</v>
      </c>
      <c r="AE383" t="str">
        <f t="shared" si="204"/>
        <v>UNITED STATES OF AMERICA</v>
      </c>
      <c r="AF383" t="str">
        <f>"N/A"</f>
        <v>N/A</v>
      </c>
      <c r="AG383" s="4" t="str">
        <f>"16702876520"</f>
        <v>16702876520</v>
      </c>
      <c r="AH383" t="str">
        <f>""</f>
        <v/>
      </c>
      <c r="AI383" t="str">
        <f>"48531"</f>
        <v>48531</v>
      </c>
      <c r="AJ383" t="s">
        <v>79</v>
      </c>
      <c r="AK383" t="s">
        <v>79</v>
      </c>
      <c r="AL383" t="s">
        <v>80</v>
      </c>
      <c r="AM383" t="s">
        <v>79</v>
      </c>
      <c r="AP383" t="str">
        <f>"TAXI DRIVER"</f>
        <v>TAXI DRIVER</v>
      </c>
      <c r="AQ383" t="str">
        <f>""</f>
        <v/>
      </c>
      <c r="AR383" t="str">
        <f>""</f>
        <v/>
      </c>
      <c r="AS383" t="str">
        <f>"MANAGER"</f>
        <v>MANAGER</v>
      </c>
      <c r="AT383" t="s">
        <v>79</v>
      </c>
      <c r="AU383" t="str">
        <f>""</f>
        <v/>
      </c>
      <c r="AV383" t="str">
        <f>""</f>
        <v/>
      </c>
      <c r="AW383" t="s">
        <v>79</v>
      </c>
      <c r="AX383" t="str">
        <f>""</f>
        <v/>
      </c>
      <c r="AY383" t="s">
        <v>81</v>
      </c>
      <c r="BA383" t="s">
        <v>80</v>
      </c>
      <c r="BB383" t="s">
        <v>79</v>
      </c>
      <c r="BD383" t="s">
        <v>79</v>
      </c>
      <c r="BG383" t="s">
        <v>82</v>
      </c>
      <c r="BH383">
        <v>12</v>
      </c>
      <c r="BI383" t="s">
        <v>615</v>
      </c>
      <c r="BJ383" t="s">
        <v>616</v>
      </c>
      <c r="BK383" t="str">
        <f>"ASUSENA AVE., GARAPAN"</f>
        <v>ASUSENA AVE., GARAPAN</v>
      </c>
      <c r="BL383" t="str">
        <f>""</f>
        <v/>
      </c>
      <c r="BM383" t="str">
        <f>"SAIPAN"</f>
        <v>SAIPAN</v>
      </c>
      <c r="BO383" t="s">
        <v>83</v>
      </c>
      <c r="BP383" s="4" t="str">
        <f t="shared" si="225"/>
        <v>96950</v>
      </c>
      <c r="BQ383" t="s">
        <v>79</v>
      </c>
      <c r="BR383" t="str">
        <f>"53-3054.00"</f>
        <v>53-3054.00</v>
      </c>
      <c r="BS383" t="s">
        <v>617</v>
      </c>
      <c r="BT383" s="3">
        <v>10.73</v>
      </c>
      <c r="BU383" t="s">
        <v>80</v>
      </c>
      <c r="BV383" t="s">
        <v>90</v>
      </c>
      <c r="BW383" t="s">
        <v>92</v>
      </c>
      <c r="BZ383" s="1">
        <v>45107</v>
      </c>
    </row>
    <row r="384" spans="1:78" ht="15" customHeight="1" x14ac:dyDescent="0.25">
      <c r="A384" t="s">
        <v>618</v>
      </c>
      <c r="B384" t="s">
        <v>94</v>
      </c>
      <c r="C384" s="1">
        <v>44829</v>
      </c>
      <c r="D384" s="1">
        <v>44869</v>
      </c>
      <c r="H384" t="s">
        <v>78</v>
      </c>
      <c r="I384" t="str">
        <f>"Belo"</f>
        <v>Belo</v>
      </c>
      <c r="J384" t="str">
        <f>"Reynhard"</f>
        <v>Reynhard</v>
      </c>
      <c r="K384" t="str">
        <f>"Masapol"</f>
        <v>Masapol</v>
      </c>
      <c r="L384" t="str">
        <f>"General Manager"</f>
        <v>General Manager</v>
      </c>
      <c r="M384" t="str">
        <f>"P. O. Box 506228"</f>
        <v>P. O. Box 506228</v>
      </c>
      <c r="N384" t="str">
        <f>"305A 3rd Floor, Marianas Business Plaza, Susupe"</f>
        <v>305A 3rd Floor, Marianas Business Plaza, Susupe</v>
      </c>
      <c r="O384" t="str">
        <f>"Saipan"</f>
        <v>Saipan</v>
      </c>
      <c r="P384" t="str">
        <f t="shared" si="221"/>
        <v>MP</v>
      </c>
      <c r="Q384" s="4" t="str">
        <f t="shared" si="223"/>
        <v>96950</v>
      </c>
      <c r="R384" t="str">
        <f t="shared" si="202"/>
        <v>UNITED STATES OF AMERICA</v>
      </c>
      <c r="S384" t="str">
        <f>""</f>
        <v/>
      </c>
      <c r="T384" s="5" t="str">
        <f>"16707885235"</f>
        <v>16707885235</v>
      </c>
      <c r="U384" t="str">
        <f>""</f>
        <v/>
      </c>
      <c r="V384" s="5" t="str">
        <f>""</f>
        <v/>
      </c>
      <c r="W384" t="str">
        <f>"GeneralEntLLC062020@gmail.com"</f>
        <v>GeneralEntLLC062020@gmail.com</v>
      </c>
      <c r="X384" t="str">
        <f>"Genesis Enterprises, LLC"</f>
        <v>Genesis Enterprises, LLC</v>
      </c>
      <c r="Y384" t="str">
        <f>""</f>
        <v/>
      </c>
      <c r="Z384" t="str">
        <f>"P. O. Box 506228"</f>
        <v>P. O. Box 506228</v>
      </c>
      <c r="AA384" t="str">
        <f>"305A 3rd Floor, Marianas Business Plaza, Susupe"</f>
        <v>305A 3rd Floor, Marianas Business Plaza, Susupe</v>
      </c>
      <c r="AB384" t="str">
        <f>"Saipan"</f>
        <v>Saipan</v>
      </c>
      <c r="AC384" t="str">
        <f t="shared" si="222"/>
        <v>MP</v>
      </c>
      <c r="AD384" t="str">
        <f t="shared" si="224"/>
        <v>96950</v>
      </c>
      <c r="AE384" t="str">
        <f t="shared" si="204"/>
        <v>UNITED STATES OF AMERICA</v>
      </c>
      <c r="AF384" t="str">
        <f>""</f>
        <v/>
      </c>
      <c r="AG384" s="4" t="str">
        <f>"16707885235"</f>
        <v>16707885235</v>
      </c>
      <c r="AH384" t="str">
        <f>""</f>
        <v/>
      </c>
      <c r="AI384" t="str">
        <f>"236116"</f>
        <v>236116</v>
      </c>
      <c r="AJ384" t="s">
        <v>79</v>
      </c>
      <c r="AK384" t="s">
        <v>79</v>
      </c>
      <c r="AL384" t="s">
        <v>80</v>
      </c>
      <c r="AM384" t="s">
        <v>79</v>
      </c>
      <c r="AP384" t="str">
        <f>"Maintenance Repair Workers, General"</f>
        <v>Maintenance Repair Workers, General</v>
      </c>
      <c r="AQ384" t="str">
        <f>""</f>
        <v/>
      </c>
      <c r="AR384" t="str">
        <f>""</f>
        <v/>
      </c>
      <c r="AS384" t="str">
        <f>"Foreman"</f>
        <v>Foreman</v>
      </c>
      <c r="AT384" t="s">
        <v>79</v>
      </c>
      <c r="AU384" t="str">
        <f>""</f>
        <v/>
      </c>
      <c r="AV384" t="str">
        <f>""</f>
        <v/>
      </c>
      <c r="AW384" t="s">
        <v>79</v>
      </c>
      <c r="AX384" t="str">
        <f>""</f>
        <v/>
      </c>
      <c r="AY384" t="s">
        <v>84</v>
      </c>
      <c r="BA384" t="s">
        <v>80</v>
      </c>
      <c r="BB384" t="s">
        <v>79</v>
      </c>
      <c r="BD384" t="s">
        <v>79</v>
      </c>
      <c r="BG384" t="s">
        <v>82</v>
      </c>
      <c r="BH384">
        <v>12</v>
      </c>
      <c r="BI384" t="s">
        <v>251</v>
      </c>
      <c r="BJ384" t="s">
        <v>619</v>
      </c>
      <c r="BK384" t="str">
        <f>"P. O. Box 506228"</f>
        <v>P. O. Box 506228</v>
      </c>
      <c r="BL384" t="str">
        <f>"305A 3rd Floor, Marianas Business Plaza, Susupe"</f>
        <v>305A 3rd Floor, Marianas Business Plaza, Susupe</v>
      </c>
      <c r="BM384" t="str">
        <f>"Saipan"</f>
        <v>Saipan</v>
      </c>
      <c r="BO384" t="s">
        <v>83</v>
      </c>
      <c r="BP384" s="4" t="str">
        <f t="shared" si="225"/>
        <v>96950</v>
      </c>
      <c r="BQ384" t="s">
        <v>79</v>
      </c>
      <c r="BR384" t="str">
        <f>"49-9071.00"</f>
        <v>49-9071.00</v>
      </c>
      <c r="BS384" t="s">
        <v>146</v>
      </c>
      <c r="BT384" s="3">
        <v>9.19</v>
      </c>
      <c r="BU384" t="s">
        <v>80</v>
      </c>
      <c r="BV384" t="s">
        <v>90</v>
      </c>
      <c r="BW384" t="s">
        <v>92</v>
      </c>
      <c r="BZ384" s="1">
        <v>45107</v>
      </c>
    </row>
    <row r="385" spans="1:78" ht="15" customHeight="1" x14ac:dyDescent="0.25">
      <c r="A385" t="s">
        <v>620</v>
      </c>
      <c r="B385" t="s">
        <v>94</v>
      </c>
      <c r="C385" s="1">
        <v>44829</v>
      </c>
      <c r="D385" s="1">
        <v>44869</v>
      </c>
      <c r="H385" t="s">
        <v>78</v>
      </c>
      <c r="I385" t="str">
        <f>"Belo"</f>
        <v>Belo</v>
      </c>
      <c r="J385" t="str">
        <f>"Reynhard"</f>
        <v>Reynhard</v>
      </c>
      <c r="K385" t="str">
        <f>"Masapol"</f>
        <v>Masapol</v>
      </c>
      <c r="L385" t="str">
        <f>"General Manager"</f>
        <v>General Manager</v>
      </c>
      <c r="M385" t="str">
        <f>"P. O. Box 506228"</f>
        <v>P. O. Box 506228</v>
      </c>
      <c r="N385" t="str">
        <f>"305A 3rd Floor, Marianas Business Plaza, Susupe"</f>
        <v>305A 3rd Floor, Marianas Business Plaza, Susupe</v>
      </c>
      <c r="O385" t="str">
        <f>"Saipan"</f>
        <v>Saipan</v>
      </c>
      <c r="P385" t="str">
        <f t="shared" si="221"/>
        <v>MP</v>
      </c>
      <c r="Q385" s="4" t="str">
        <f t="shared" si="223"/>
        <v>96950</v>
      </c>
      <c r="R385" t="str">
        <f t="shared" si="202"/>
        <v>UNITED STATES OF AMERICA</v>
      </c>
      <c r="S385" t="str">
        <f>""</f>
        <v/>
      </c>
      <c r="T385" s="5" t="str">
        <f>"16707885235"</f>
        <v>16707885235</v>
      </c>
      <c r="U385" t="str">
        <f>""</f>
        <v/>
      </c>
      <c r="V385" s="5" t="str">
        <f>""</f>
        <v/>
      </c>
      <c r="W385" t="str">
        <f>"GenesisEntLLC062020@gmail.com"</f>
        <v>GenesisEntLLC062020@gmail.com</v>
      </c>
      <c r="X385" t="str">
        <f>"Genesis Enterprises, LLC"</f>
        <v>Genesis Enterprises, LLC</v>
      </c>
      <c r="Y385" t="str">
        <f>""</f>
        <v/>
      </c>
      <c r="Z385" t="str">
        <f>"P. O. Box 506228"</f>
        <v>P. O. Box 506228</v>
      </c>
      <c r="AA385" t="str">
        <f>"305A 3rd Floor, Marianas Business Plaza, Susupe"</f>
        <v>305A 3rd Floor, Marianas Business Plaza, Susupe</v>
      </c>
      <c r="AB385" t="str">
        <f>"Saipan"</f>
        <v>Saipan</v>
      </c>
      <c r="AC385" t="str">
        <f t="shared" si="222"/>
        <v>MP</v>
      </c>
      <c r="AD385" t="str">
        <f t="shared" si="224"/>
        <v>96950</v>
      </c>
      <c r="AE385" t="str">
        <f t="shared" si="204"/>
        <v>UNITED STATES OF AMERICA</v>
      </c>
      <c r="AF385" t="str">
        <f>""</f>
        <v/>
      </c>
      <c r="AG385" s="4" t="str">
        <f>"16707885235"</f>
        <v>16707885235</v>
      </c>
      <c r="AH385" t="str">
        <f>""</f>
        <v/>
      </c>
      <c r="AI385" t="str">
        <f>"236116"</f>
        <v>236116</v>
      </c>
      <c r="AJ385" t="s">
        <v>79</v>
      </c>
      <c r="AK385" t="s">
        <v>79</v>
      </c>
      <c r="AL385" t="s">
        <v>80</v>
      </c>
      <c r="AM385" t="s">
        <v>79</v>
      </c>
      <c r="AP385" t="str">
        <f>"Maintenance Repair Workers, General"</f>
        <v>Maintenance Repair Workers, General</v>
      </c>
      <c r="AQ385" t="str">
        <f>"49-9098.00"</f>
        <v>49-9098.00</v>
      </c>
      <c r="AR385" t="str">
        <f>"Helpers--Installation, Maintenance, and Repair Workers"</f>
        <v>Helpers--Installation, Maintenance, and Repair Workers</v>
      </c>
      <c r="AS385" t="str">
        <f>"Foreman"</f>
        <v>Foreman</v>
      </c>
      <c r="AT385" t="s">
        <v>79</v>
      </c>
      <c r="AU385" t="str">
        <f>""</f>
        <v/>
      </c>
      <c r="AV385" t="str">
        <f>""</f>
        <v/>
      </c>
      <c r="AW385" t="s">
        <v>79</v>
      </c>
      <c r="AX385" t="str">
        <f>""</f>
        <v/>
      </c>
      <c r="AY385" t="s">
        <v>84</v>
      </c>
      <c r="BA385" t="s">
        <v>80</v>
      </c>
      <c r="BB385" t="s">
        <v>79</v>
      </c>
      <c r="BD385" t="s">
        <v>79</v>
      </c>
      <c r="BG385" t="s">
        <v>82</v>
      </c>
      <c r="BH385">
        <v>12</v>
      </c>
      <c r="BI385" t="s">
        <v>251</v>
      </c>
      <c r="BJ385" s="2" t="s">
        <v>621</v>
      </c>
      <c r="BK385" t="str">
        <f>"P. O. Box 506228"</f>
        <v>P. O. Box 506228</v>
      </c>
      <c r="BL385" t="str">
        <f>"305A 3rd Floor, Marianas Business Plaza, Susupe"</f>
        <v>305A 3rd Floor, Marianas Business Plaza, Susupe</v>
      </c>
      <c r="BM385" t="str">
        <f>"Saipan"</f>
        <v>Saipan</v>
      </c>
      <c r="BO385" t="s">
        <v>83</v>
      </c>
      <c r="BP385" s="4" t="str">
        <f t="shared" si="225"/>
        <v>96950</v>
      </c>
      <c r="BQ385" t="s">
        <v>79</v>
      </c>
      <c r="BR385" t="str">
        <f>"49-9071.00"</f>
        <v>49-9071.00</v>
      </c>
      <c r="BS385" t="s">
        <v>146</v>
      </c>
      <c r="BT385" s="3">
        <v>9.19</v>
      </c>
      <c r="BU385" t="s">
        <v>80</v>
      </c>
      <c r="BV385" t="s">
        <v>90</v>
      </c>
      <c r="BW385" t="s">
        <v>92</v>
      </c>
      <c r="BZ385" s="1">
        <v>45107</v>
      </c>
    </row>
    <row r="386" spans="1:78" ht="15" customHeight="1" x14ac:dyDescent="0.25">
      <c r="A386" t="s">
        <v>622</v>
      </c>
      <c r="B386" t="s">
        <v>94</v>
      </c>
      <c r="C386" s="1">
        <v>44829</v>
      </c>
      <c r="D386" s="1">
        <v>44869</v>
      </c>
      <c r="H386" t="s">
        <v>78</v>
      </c>
      <c r="I386" t="str">
        <f>"TIU"</f>
        <v>TIU</v>
      </c>
      <c r="J386" t="str">
        <f>"ALBERT"</f>
        <v>ALBERT</v>
      </c>
      <c r="K386" t="str">
        <f>"ONG"</f>
        <v>ONG</v>
      </c>
      <c r="L386" t="str">
        <f>"PRESIDENT"</f>
        <v>PRESIDENT</v>
      </c>
      <c r="M386" t="str">
        <f>"CHALAN PALE ARNOLD"</f>
        <v>CHALAN PALE ARNOLD</v>
      </c>
      <c r="N386" t="str">
        <f>"P.O. BOX 502399 CK, SAIPAN"</f>
        <v>P.O. BOX 502399 CK, SAIPAN</v>
      </c>
      <c r="O386" t="str">
        <f>"TANAPAG VILLAGE"</f>
        <v>TANAPAG VILLAGE</v>
      </c>
      <c r="P386" t="str">
        <f t="shared" ref="P386:P392" si="235">"MP"</f>
        <v>MP</v>
      </c>
      <c r="Q386" s="4" t="str">
        <f t="shared" si="223"/>
        <v>96950</v>
      </c>
      <c r="R386" t="str">
        <f t="shared" ref="R386:R449" si="236">"UNITED STATES OF AMERICA"</f>
        <v>UNITED STATES OF AMERICA</v>
      </c>
      <c r="S386" t="str">
        <f>"NA"</f>
        <v>NA</v>
      </c>
      <c r="T386" s="5" t="str">
        <f>"16703238882"</f>
        <v>16703238882</v>
      </c>
      <c r="U386" t="str">
        <f>""</f>
        <v/>
      </c>
      <c r="V386" s="5" t="str">
        <f>""</f>
        <v/>
      </c>
      <c r="W386" t="str">
        <f>"horizons87.hrd@gmail.com"</f>
        <v>horizons87.hrd@gmail.com</v>
      </c>
      <c r="X386" t="str">
        <f>"HORIZONS INC."</f>
        <v>HORIZONS INC.</v>
      </c>
      <c r="Y386" t="str">
        <f>"NA"</f>
        <v>NA</v>
      </c>
      <c r="Z386" t="str">
        <f>"CHALAN PALE ARNOLD"</f>
        <v>CHALAN PALE ARNOLD</v>
      </c>
      <c r="AA386" t="str">
        <f>"P.O. BOX 502399 CK, SAIPAN"</f>
        <v>P.O. BOX 502399 CK, SAIPAN</v>
      </c>
      <c r="AB386" t="str">
        <f>"TANAPAG VILLAGE"</f>
        <v>TANAPAG VILLAGE</v>
      </c>
      <c r="AC386" t="str">
        <f t="shared" ref="AC386:AC417" si="237">"MP"</f>
        <v>MP</v>
      </c>
      <c r="AD386" t="str">
        <f t="shared" si="224"/>
        <v>96950</v>
      </c>
      <c r="AE386" t="str">
        <f t="shared" ref="AE386:AE449" si="238">"UNITED STATES OF AMERICA"</f>
        <v>UNITED STATES OF AMERICA</v>
      </c>
      <c r="AF386" t="str">
        <f>"NA"</f>
        <v>NA</v>
      </c>
      <c r="AG386" s="4" t="str">
        <f>"16703238882"</f>
        <v>16703238882</v>
      </c>
      <c r="AH386" t="str">
        <f>""</f>
        <v/>
      </c>
      <c r="AI386" t="str">
        <f>"424410"</f>
        <v>424410</v>
      </c>
      <c r="AJ386" t="s">
        <v>79</v>
      </c>
      <c r="AK386" t="s">
        <v>79</v>
      </c>
      <c r="AL386" t="s">
        <v>80</v>
      </c>
      <c r="AM386" t="s">
        <v>79</v>
      </c>
      <c r="AP386" t="str">
        <f>"TRUCK DRIVERS"</f>
        <v>TRUCK DRIVERS</v>
      </c>
      <c r="AQ386" t="str">
        <f>"53-3033.00"</f>
        <v>53-3033.00</v>
      </c>
      <c r="AR386" t="str">
        <f>"Light Truck Drivers"</f>
        <v>Light Truck Drivers</v>
      </c>
      <c r="AS386" t="str">
        <f>"SALES SUPERVISOR"</f>
        <v>SALES SUPERVISOR</v>
      </c>
      <c r="AT386" t="s">
        <v>79</v>
      </c>
      <c r="AU386" t="str">
        <f>""</f>
        <v/>
      </c>
      <c r="AV386" t="str">
        <f>""</f>
        <v/>
      </c>
      <c r="AW386" t="s">
        <v>79</v>
      </c>
      <c r="AX386" t="str">
        <f>""</f>
        <v/>
      </c>
      <c r="AY386" t="s">
        <v>84</v>
      </c>
      <c r="BA386" t="s">
        <v>206</v>
      </c>
      <c r="BB386" t="s">
        <v>79</v>
      </c>
      <c r="BD386" t="s">
        <v>79</v>
      </c>
      <c r="BG386" t="s">
        <v>82</v>
      </c>
      <c r="BH386">
        <v>12</v>
      </c>
      <c r="BI386" t="s">
        <v>623</v>
      </c>
      <c r="BJ386" t="s">
        <v>624</v>
      </c>
      <c r="BK386" t="str">
        <f>"CHALAN PALE ARNOLD"</f>
        <v>CHALAN PALE ARNOLD</v>
      </c>
      <c r="BL386" t="str">
        <f>"P.O. BOX 502399 CK, SAIPAN"</f>
        <v>P.O. BOX 502399 CK, SAIPAN</v>
      </c>
      <c r="BM386" t="str">
        <f>"TANAPAG VILLAGE"</f>
        <v>TANAPAG VILLAGE</v>
      </c>
      <c r="BO386" t="s">
        <v>83</v>
      </c>
      <c r="BP386" s="4" t="str">
        <f t="shared" si="225"/>
        <v>96950</v>
      </c>
      <c r="BQ386" t="s">
        <v>79</v>
      </c>
      <c r="BR386" t="str">
        <f>"53-3033.00"</f>
        <v>53-3033.00</v>
      </c>
      <c r="BS386" t="s">
        <v>625</v>
      </c>
      <c r="BT386" s="3">
        <v>7.87</v>
      </c>
      <c r="BU386" t="s">
        <v>80</v>
      </c>
      <c r="BV386" t="s">
        <v>90</v>
      </c>
      <c r="BW386" t="s">
        <v>92</v>
      </c>
      <c r="BZ386" s="1">
        <v>45107</v>
      </c>
    </row>
    <row r="387" spans="1:78" ht="15" customHeight="1" x14ac:dyDescent="0.25">
      <c r="A387" t="s">
        <v>626</v>
      </c>
      <c r="B387" t="s">
        <v>94</v>
      </c>
      <c r="C387" s="1">
        <v>44829</v>
      </c>
      <c r="D387" s="1">
        <v>44869</v>
      </c>
      <c r="H387" t="s">
        <v>78</v>
      </c>
      <c r="I387" t="str">
        <f>"TIU"</f>
        <v>TIU</v>
      </c>
      <c r="J387" t="str">
        <f>"ALBERT"</f>
        <v>ALBERT</v>
      </c>
      <c r="K387" t="str">
        <f>"ONG"</f>
        <v>ONG</v>
      </c>
      <c r="L387" t="str">
        <f>"PRESIDENT"</f>
        <v>PRESIDENT</v>
      </c>
      <c r="M387" t="str">
        <f>"CHALAN PALE ARNOLD"</f>
        <v>CHALAN PALE ARNOLD</v>
      </c>
      <c r="N387" t="str">
        <f>"P.O. BOX 502399 CK, SAIPAN"</f>
        <v>P.O. BOX 502399 CK, SAIPAN</v>
      </c>
      <c r="O387" t="str">
        <f>"TANAPAG VILLAGE"</f>
        <v>TANAPAG VILLAGE</v>
      </c>
      <c r="P387" t="str">
        <f t="shared" si="235"/>
        <v>MP</v>
      </c>
      <c r="Q387" s="4" t="str">
        <f t="shared" ref="Q387:Q403" si="239">"96950"</f>
        <v>96950</v>
      </c>
      <c r="R387" t="str">
        <f t="shared" si="236"/>
        <v>UNITED STATES OF AMERICA</v>
      </c>
      <c r="S387" t="str">
        <f>"NA"</f>
        <v>NA</v>
      </c>
      <c r="T387" s="5" t="str">
        <f>"16703238882"</f>
        <v>16703238882</v>
      </c>
      <c r="U387" t="str">
        <f>""</f>
        <v/>
      </c>
      <c r="V387" s="5" t="str">
        <f>""</f>
        <v/>
      </c>
      <c r="W387" t="str">
        <f>"horizons87.hrd@gmail.com"</f>
        <v>horizons87.hrd@gmail.com</v>
      </c>
      <c r="X387" t="str">
        <f>"HORIZONS INC."</f>
        <v>HORIZONS INC.</v>
      </c>
      <c r="Y387" t="str">
        <f>"NA"</f>
        <v>NA</v>
      </c>
      <c r="Z387" t="str">
        <f>"CHALAN PALE ARNOLD"</f>
        <v>CHALAN PALE ARNOLD</v>
      </c>
      <c r="AA387" t="str">
        <f>"P.O. BOX 502399 CK SAIPAN"</f>
        <v>P.O. BOX 502399 CK SAIPAN</v>
      </c>
      <c r="AB387" t="str">
        <f>"TANAPAG VILLAGE"</f>
        <v>TANAPAG VILLAGE</v>
      </c>
      <c r="AC387" t="str">
        <f t="shared" si="237"/>
        <v>MP</v>
      </c>
      <c r="AD387" t="str">
        <f t="shared" ref="AD387:AD403" si="240">"96950"</f>
        <v>96950</v>
      </c>
      <c r="AE387" t="str">
        <f t="shared" si="238"/>
        <v>UNITED STATES OF AMERICA</v>
      </c>
      <c r="AF387" t="str">
        <f>"NA"</f>
        <v>NA</v>
      </c>
      <c r="AG387" s="4" t="str">
        <f>"16703238882"</f>
        <v>16703238882</v>
      </c>
      <c r="AH387" t="str">
        <f>""</f>
        <v/>
      </c>
      <c r="AI387" t="str">
        <f>"424410"</f>
        <v>424410</v>
      </c>
      <c r="AJ387" t="s">
        <v>79</v>
      </c>
      <c r="AK387" t="s">
        <v>79</v>
      </c>
      <c r="AL387" t="s">
        <v>80</v>
      </c>
      <c r="AM387" t="s">
        <v>79</v>
      </c>
      <c r="AP387" t="str">
        <f>"ROUTE SALES PERSON"</f>
        <v>ROUTE SALES PERSON</v>
      </c>
      <c r="AQ387" t="str">
        <f>"53-3031.00"</f>
        <v>53-3031.00</v>
      </c>
      <c r="AR387" t="str">
        <f>"Driver/Sales Workers"</f>
        <v>Driver/Sales Workers</v>
      </c>
      <c r="AS387" t="str">
        <f>"SALES SUPERVISOR"</f>
        <v>SALES SUPERVISOR</v>
      </c>
      <c r="AT387" t="s">
        <v>79</v>
      </c>
      <c r="AU387" t="str">
        <f>""</f>
        <v/>
      </c>
      <c r="AV387" t="str">
        <f>""</f>
        <v/>
      </c>
      <c r="AW387" t="s">
        <v>82</v>
      </c>
      <c r="AX387" t="str">
        <f>"TRAVEL WILL BE INTER-ISLANDS ONLY,SAIPAN, TINIAN AND ROTA. SAIPAN IS THE HOMEBASE WHILE TRAVELLING TO TINIAN AND ROTA WILL BE ONCE A MONTH THAT
ONLY LAST FOR A DAY."</f>
        <v>TRAVEL WILL BE INTER-ISLANDS ONLY,SAIPAN, TINIAN AND ROTA. SAIPAN IS THE HOMEBASE WHILE TRAVELLING TO TINIAN AND ROTA WILL BE ONCE A MONTH THAT
ONLY LAST FOR A DAY.</v>
      </c>
      <c r="AY387" t="s">
        <v>84</v>
      </c>
      <c r="BA387" t="s">
        <v>206</v>
      </c>
      <c r="BB387" t="s">
        <v>79</v>
      </c>
      <c r="BD387" t="s">
        <v>79</v>
      </c>
      <c r="BG387" t="s">
        <v>82</v>
      </c>
      <c r="BH387">
        <v>12</v>
      </c>
      <c r="BI387" t="s">
        <v>627</v>
      </c>
      <c r="BJ387" s="2" t="s">
        <v>628</v>
      </c>
      <c r="BK387" t="str">
        <f>"CHALAN PALE ARNOLD"</f>
        <v>CHALAN PALE ARNOLD</v>
      </c>
      <c r="BL387" t="str">
        <f>"P.O. BOX 502399 CK, SAIPAN"</f>
        <v>P.O. BOX 502399 CK, SAIPAN</v>
      </c>
      <c r="BM387" t="str">
        <f>"TANAPAG VILLAGE"</f>
        <v>TANAPAG VILLAGE</v>
      </c>
      <c r="BO387" t="s">
        <v>83</v>
      </c>
      <c r="BP387" s="4" t="str">
        <f t="shared" ref="BP387:BP403" si="241">"96950"</f>
        <v>96950</v>
      </c>
      <c r="BQ387" t="s">
        <v>79</v>
      </c>
      <c r="BR387" t="str">
        <f>"53-3031.00"</f>
        <v>53-3031.00</v>
      </c>
      <c r="BS387" t="s">
        <v>629</v>
      </c>
      <c r="BT387" s="3">
        <v>8.06</v>
      </c>
      <c r="BU387" t="s">
        <v>80</v>
      </c>
      <c r="BV387" t="s">
        <v>90</v>
      </c>
      <c r="BW387" t="s">
        <v>92</v>
      </c>
      <c r="BZ387" s="1">
        <v>45107</v>
      </c>
    </row>
    <row r="388" spans="1:78" ht="15" customHeight="1" x14ac:dyDescent="0.25">
      <c r="A388" t="s">
        <v>630</v>
      </c>
      <c r="B388" t="s">
        <v>94</v>
      </c>
      <c r="C388" s="1">
        <v>44829</v>
      </c>
      <c r="D388" s="1">
        <v>44869</v>
      </c>
      <c r="H388" t="s">
        <v>78</v>
      </c>
      <c r="I388" t="str">
        <f>"TIU"</f>
        <v>TIU</v>
      </c>
      <c r="J388" t="str">
        <f>"ALBERT"</f>
        <v>ALBERT</v>
      </c>
      <c r="K388" t="str">
        <f>"ONG"</f>
        <v>ONG</v>
      </c>
      <c r="L388" t="str">
        <f>"PRESIDENT"</f>
        <v>PRESIDENT</v>
      </c>
      <c r="M388" t="str">
        <f>"CHALAN PALE ARNOLD"</f>
        <v>CHALAN PALE ARNOLD</v>
      </c>
      <c r="N388" t="str">
        <f>"P.O. BOX 502399 CK, SAIPAN"</f>
        <v>P.O. BOX 502399 CK, SAIPAN</v>
      </c>
      <c r="O388" t="str">
        <f>"TANAPAG VILLAGE"</f>
        <v>TANAPAG VILLAGE</v>
      </c>
      <c r="P388" t="str">
        <f t="shared" si="235"/>
        <v>MP</v>
      </c>
      <c r="Q388" s="4" t="str">
        <f t="shared" si="239"/>
        <v>96950</v>
      </c>
      <c r="R388" t="str">
        <f t="shared" si="236"/>
        <v>UNITED STATES OF AMERICA</v>
      </c>
      <c r="S388" t="str">
        <f>"NA"</f>
        <v>NA</v>
      </c>
      <c r="T388" s="5" t="str">
        <f>"16703238882"</f>
        <v>16703238882</v>
      </c>
      <c r="U388" t="str">
        <f>""</f>
        <v/>
      </c>
      <c r="V388" s="5" t="str">
        <f>""</f>
        <v/>
      </c>
      <c r="W388" t="str">
        <f>"horizons87.hrd@gmail.com"</f>
        <v>horizons87.hrd@gmail.com</v>
      </c>
      <c r="X388" t="str">
        <f>"HORIZONS INC."</f>
        <v>HORIZONS INC.</v>
      </c>
      <c r="Y388" t="str">
        <f>"NA"</f>
        <v>NA</v>
      </c>
      <c r="Z388" t="str">
        <f>"CHALAN PALE ARNOLD"</f>
        <v>CHALAN PALE ARNOLD</v>
      </c>
      <c r="AA388" t="str">
        <f>"P.O. BOX 502399 CK, SAIPAN"</f>
        <v>P.O. BOX 502399 CK, SAIPAN</v>
      </c>
      <c r="AB388" t="str">
        <f>"TANAPAG VILLAGE"</f>
        <v>TANAPAG VILLAGE</v>
      </c>
      <c r="AC388" t="str">
        <f t="shared" si="237"/>
        <v>MP</v>
      </c>
      <c r="AD388" t="str">
        <f t="shared" si="240"/>
        <v>96950</v>
      </c>
      <c r="AE388" t="str">
        <f t="shared" si="238"/>
        <v>UNITED STATES OF AMERICA</v>
      </c>
      <c r="AF388" t="str">
        <f>"NA"</f>
        <v>NA</v>
      </c>
      <c r="AG388" s="4" t="str">
        <f>"16703238882"</f>
        <v>16703238882</v>
      </c>
      <c r="AH388" t="str">
        <f>""</f>
        <v/>
      </c>
      <c r="AI388" t="str">
        <f>"424410"</f>
        <v>424410</v>
      </c>
      <c r="AJ388" t="s">
        <v>79</v>
      </c>
      <c r="AK388" t="s">
        <v>79</v>
      </c>
      <c r="AL388" t="s">
        <v>80</v>
      </c>
      <c r="AM388" t="s">
        <v>79</v>
      </c>
      <c r="AP388" t="str">
        <f>"ACCOUNTS PAYABLE CLERK"</f>
        <v>ACCOUNTS PAYABLE CLERK</v>
      </c>
      <c r="AQ388" t="str">
        <f>"43-3031.00"</f>
        <v>43-3031.00</v>
      </c>
      <c r="AR388" t="str">
        <f>"Bookkeeping, Accounting, and Auditing Clerks"</f>
        <v>Bookkeeping, Accounting, and Auditing Clerks</v>
      </c>
      <c r="AS388" t="str">
        <f>"PRESIDENT"</f>
        <v>PRESIDENT</v>
      </c>
      <c r="AT388" t="s">
        <v>79</v>
      </c>
      <c r="AU388" t="str">
        <f>""</f>
        <v/>
      </c>
      <c r="AV388" t="str">
        <f>""</f>
        <v/>
      </c>
      <c r="AW388" t="s">
        <v>79</v>
      </c>
      <c r="AX388" t="str">
        <f>""</f>
        <v/>
      </c>
      <c r="AY388" t="s">
        <v>84</v>
      </c>
      <c r="BA388" t="s">
        <v>206</v>
      </c>
      <c r="BB388" t="s">
        <v>79</v>
      </c>
      <c r="BD388" t="s">
        <v>79</v>
      </c>
      <c r="BG388" t="s">
        <v>82</v>
      </c>
      <c r="BH388">
        <v>24</v>
      </c>
      <c r="BI388" t="s">
        <v>631</v>
      </c>
      <c r="BJ388" s="2" t="s">
        <v>632</v>
      </c>
      <c r="BK388" t="str">
        <f>"CHALAN PALE ARNOLD"</f>
        <v>CHALAN PALE ARNOLD</v>
      </c>
      <c r="BL388" t="str">
        <f>"P.O. BOX 52399 CK SAIPAN"</f>
        <v>P.O. BOX 52399 CK SAIPAN</v>
      </c>
      <c r="BM388" t="str">
        <f>"TANAPAG VILLAGE"</f>
        <v>TANAPAG VILLAGE</v>
      </c>
      <c r="BO388" t="s">
        <v>83</v>
      </c>
      <c r="BP388" s="4" t="str">
        <f t="shared" si="241"/>
        <v>96950</v>
      </c>
      <c r="BQ388" t="s">
        <v>79</v>
      </c>
      <c r="BR388" t="str">
        <f>"43-3031.00"</f>
        <v>43-3031.00</v>
      </c>
      <c r="BS388" t="s">
        <v>142</v>
      </c>
      <c r="BT388" s="3">
        <v>11.21</v>
      </c>
      <c r="BU388" t="s">
        <v>80</v>
      </c>
      <c r="BV388" t="s">
        <v>90</v>
      </c>
      <c r="BW388" t="s">
        <v>92</v>
      </c>
      <c r="BZ388" s="1">
        <v>45107</v>
      </c>
    </row>
    <row r="389" spans="1:78" ht="15" customHeight="1" x14ac:dyDescent="0.25">
      <c r="A389" t="s">
        <v>633</v>
      </c>
      <c r="B389" t="s">
        <v>94</v>
      </c>
      <c r="C389" s="1">
        <v>44829</v>
      </c>
      <c r="D389" s="1">
        <v>44869</v>
      </c>
      <c r="H389" t="s">
        <v>78</v>
      </c>
      <c r="I389" t="str">
        <f>"MARFEGA"</f>
        <v>MARFEGA</v>
      </c>
      <c r="J389" t="str">
        <f>"NORMA"</f>
        <v>NORMA</v>
      </c>
      <c r="K389" t="str">
        <f>"MARILAG"</f>
        <v>MARILAG</v>
      </c>
      <c r="L389" t="str">
        <f>"PRESIDENT"</f>
        <v>PRESIDENT</v>
      </c>
      <c r="M389" t="str">
        <f>"AIRPORT ROAD DANDAN VILLAGE"</f>
        <v>AIRPORT ROAD DANDAN VILLAGE</v>
      </c>
      <c r="N389" t="str">
        <f>"PO BOX 502356"</f>
        <v>PO BOX 502356</v>
      </c>
      <c r="O389" t="str">
        <f>"SAIPAN"</f>
        <v>SAIPAN</v>
      </c>
      <c r="P389" t="str">
        <f t="shared" si="235"/>
        <v>MP</v>
      </c>
      <c r="Q389" s="4" t="str">
        <f t="shared" si="239"/>
        <v>96950</v>
      </c>
      <c r="R389" t="str">
        <f t="shared" si="236"/>
        <v>UNITED STATES OF AMERICA</v>
      </c>
      <c r="S389" t="str">
        <f>"MP"</f>
        <v>MP</v>
      </c>
      <c r="T389" s="5" t="str">
        <f>"16702880373"</f>
        <v>16702880373</v>
      </c>
      <c r="U389" t="str">
        <f>""</f>
        <v/>
      </c>
      <c r="V389" s="5" t="str">
        <f>""</f>
        <v/>
      </c>
      <c r="W389" t="str">
        <f>"islander@pticom.com"</f>
        <v>islander@pticom.com</v>
      </c>
      <c r="X389" t="str">
        <f>"MARFEGA TRADING CO., INC."</f>
        <v>MARFEGA TRADING CO., INC.</v>
      </c>
      <c r="Y389" t="str">
        <f>"ISLANDER RENT A CAR"</f>
        <v>ISLANDER RENT A CAR</v>
      </c>
      <c r="Z389" t="str">
        <f>"AIRPORT ROAD DANDAN VILLAGE"</f>
        <v>AIRPORT ROAD DANDAN VILLAGE</v>
      </c>
      <c r="AA389" t="str">
        <f>"PO BOX 502356"</f>
        <v>PO BOX 502356</v>
      </c>
      <c r="AB389" t="str">
        <f>"SAIPAN"</f>
        <v>SAIPAN</v>
      </c>
      <c r="AC389" t="str">
        <f t="shared" si="237"/>
        <v>MP</v>
      </c>
      <c r="AD389" t="str">
        <f t="shared" si="240"/>
        <v>96950</v>
      </c>
      <c r="AE389" t="str">
        <f t="shared" si="238"/>
        <v>UNITED STATES OF AMERICA</v>
      </c>
      <c r="AF389" t="str">
        <f>"MP"</f>
        <v>MP</v>
      </c>
      <c r="AG389" s="4" t="str">
        <f>"16702880373"</f>
        <v>16702880373</v>
      </c>
      <c r="AH389" t="str">
        <f>""</f>
        <v/>
      </c>
      <c r="AI389" t="str">
        <f>"532111"</f>
        <v>532111</v>
      </c>
      <c r="AJ389" t="s">
        <v>79</v>
      </c>
      <c r="AK389" t="s">
        <v>79</v>
      </c>
      <c r="AL389" t="s">
        <v>80</v>
      </c>
      <c r="AM389" t="s">
        <v>79</v>
      </c>
      <c r="AP389" t="str">
        <f>"AIR CONDITIONING TECHNICIAN"</f>
        <v>AIR CONDITIONING TECHNICIAN</v>
      </c>
      <c r="AQ389" t="str">
        <f>"49-9021.00"</f>
        <v>49-9021.00</v>
      </c>
      <c r="AR389" t="str">
        <f>"Heating, Air Conditioning, and Refrigeration Mechanics and Installers"</f>
        <v>Heating, Air Conditioning, and Refrigeration Mechanics and Installers</v>
      </c>
      <c r="AS389" t="str">
        <f>"GENERAL MANAGER"</f>
        <v>GENERAL MANAGER</v>
      </c>
      <c r="AT389" t="s">
        <v>79</v>
      </c>
      <c r="AU389" t="str">
        <f>""</f>
        <v/>
      </c>
      <c r="AV389" t="str">
        <f>""</f>
        <v/>
      </c>
      <c r="AW389" t="s">
        <v>79</v>
      </c>
      <c r="AX389" t="str">
        <f>""</f>
        <v/>
      </c>
      <c r="AY389" t="s">
        <v>84</v>
      </c>
      <c r="BA389" t="s">
        <v>80</v>
      </c>
      <c r="BB389" t="s">
        <v>79</v>
      </c>
      <c r="BD389" t="s">
        <v>79</v>
      </c>
      <c r="BG389" t="s">
        <v>82</v>
      </c>
      <c r="BH389">
        <v>12</v>
      </c>
      <c r="BI389" t="s">
        <v>634</v>
      </c>
      <c r="BJ389" t="s">
        <v>635</v>
      </c>
      <c r="BK389" t="str">
        <f>"AIRPORT ROAD DANDAN VILLAGE"</f>
        <v>AIRPORT ROAD DANDAN VILLAGE</v>
      </c>
      <c r="BL389" t="str">
        <f>"PO BOX 502356"</f>
        <v>PO BOX 502356</v>
      </c>
      <c r="BM389" t="str">
        <f>"SAIPAN"</f>
        <v>SAIPAN</v>
      </c>
      <c r="BO389" t="s">
        <v>83</v>
      </c>
      <c r="BP389" s="4" t="str">
        <f t="shared" si="241"/>
        <v>96950</v>
      </c>
      <c r="BQ389" t="s">
        <v>79</v>
      </c>
      <c r="BR389" t="str">
        <f>"49-3023.00"</f>
        <v>49-3023.00</v>
      </c>
      <c r="BS389" t="s">
        <v>269</v>
      </c>
      <c r="BT389" s="3">
        <v>9.93</v>
      </c>
      <c r="BU389" t="s">
        <v>80</v>
      </c>
      <c r="BV389" t="s">
        <v>90</v>
      </c>
      <c r="BW389" t="s">
        <v>92</v>
      </c>
      <c r="BZ389" s="1">
        <v>45107</v>
      </c>
    </row>
    <row r="390" spans="1:78" ht="15" customHeight="1" x14ac:dyDescent="0.25">
      <c r="A390" t="s">
        <v>636</v>
      </c>
      <c r="B390" t="s">
        <v>94</v>
      </c>
      <c r="C390" s="1">
        <v>44829</v>
      </c>
      <c r="D390" s="1">
        <v>44869</v>
      </c>
      <c r="H390" t="s">
        <v>78</v>
      </c>
      <c r="I390" t="str">
        <f>"RANJO"</f>
        <v>RANJO</v>
      </c>
      <c r="J390" t="str">
        <f>"JOSELITO "</f>
        <v xml:space="preserve">JOSELITO </v>
      </c>
      <c r="K390" t="str">
        <f>"LAGAMON "</f>
        <v xml:space="preserve">LAGAMON </v>
      </c>
      <c r="L390" t="str">
        <f>"GENERAL MANAGER "</f>
        <v xml:space="preserve">GENERAL MANAGER </v>
      </c>
      <c r="M390" t="str">
        <f>"PO BOX 10001 PMB 485"</f>
        <v>PO BOX 10001 PMB 485</v>
      </c>
      <c r="N390" t="str">
        <f>""</f>
        <v/>
      </c>
      <c r="O390" t="str">
        <f>"SAIPAN "</f>
        <v xml:space="preserve">SAIPAN </v>
      </c>
      <c r="P390" t="str">
        <f t="shared" si="235"/>
        <v>MP</v>
      </c>
      <c r="Q390" s="4" t="str">
        <f t="shared" si="239"/>
        <v>96950</v>
      </c>
      <c r="R390" t="str">
        <f t="shared" si="236"/>
        <v>UNITED STATES OF AMERICA</v>
      </c>
      <c r="S390" t="str">
        <f>""</f>
        <v/>
      </c>
      <c r="T390" s="5" t="str">
        <f>"16702338883"</f>
        <v>16702338883</v>
      </c>
      <c r="U390" t="str">
        <f>""</f>
        <v/>
      </c>
      <c r="V390" s="5" t="str">
        <f>""</f>
        <v/>
      </c>
      <c r="W390" t="str">
        <f>"hr.coreplusconstruction@gmail.com"</f>
        <v>hr.coreplusconstruction@gmail.com</v>
      </c>
      <c r="X390" t="str">
        <f>"PARAGON CORPORATION "</f>
        <v xml:space="preserve">PARAGON CORPORATION </v>
      </c>
      <c r="Y390" t="str">
        <f>"COREPLUS CONSTRUCTION "</f>
        <v xml:space="preserve">COREPLUS CONSTRUCTION </v>
      </c>
      <c r="Z390" t="str">
        <f>"PO BOX 10001 PMB 485 "</f>
        <v xml:space="preserve">PO BOX 10001 PMB 485 </v>
      </c>
      <c r="AA390" t="str">
        <f>""</f>
        <v/>
      </c>
      <c r="AB390" t="str">
        <f>"SAIPAN "</f>
        <v xml:space="preserve">SAIPAN </v>
      </c>
      <c r="AC390" t="str">
        <f t="shared" si="237"/>
        <v>MP</v>
      </c>
      <c r="AD390" t="str">
        <f t="shared" si="240"/>
        <v>96950</v>
      </c>
      <c r="AE390" t="str">
        <f t="shared" si="238"/>
        <v>UNITED STATES OF AMERICA</v>
      </c>
      <c r="AF390" t="str">
        <f>""</f>
        <v/>
      </c>
      <c r="AG390" s="4" t="str">
        <f>"16702338883"</f>
        <v>16702338883</v>
      </c>
      <c r="AH390" t="str">
        <f>""</f>
        <v/>
      </c>
      <c r="AI390" t="str">
        <f>"23622"</f>
        <v>23622</v>
      </c>
      <c r="AJ390" t="s">
        <v>79</v>
      </c>
      <c r="AK390" t="s">
        <v>79</v>
      </c>
      <c r="AL390" t="s">
        <v>80</v>
      </c>
      <c r="AM390" t="s">
        <v>79</v>
      </c>
      <c r="AP390" t="str">
        <f>"CIVIL ENGINEERING TECHNICIAN"</f>
        <v>CIVIL ENGINEERING TECHNICIAN</v>
      </c>
      <c r="AQ390" t="str">
        <f>"17-3022.00"</f>
        <v>17-3022.00</v>
      </c>
      <c r="AR390" t="str">
        <f>"Civil Engineering Technologists and Technicians"</f>
        <v>Civil Engineering Technologists and Technicians</v>
      </c>
      <c r="AS390" t="str">
        <f>"N/A"</f>
        <v>N/A</v>
      </c>
      <c r="AT390" t="s">
        <v>79</v>
      </c>
      <c r="AU390" t="str">
        <f>""</f>
        <v/>
      </c>
      <c r="AV390" t="str">
        <f>""</f>
        <v/>
      </c>
      <c r="AW390" t="s">
        <v>79</v>
      </c>
      <c r="AX390" t="str">
        <f>""</f>
        <v/>
      </c>
      <c r="AY390" t="s">
        <v>124</v>
      </c>
      <c r="BA390" t="s">
        <v>80</v>
      </c>
      <c r="BB390" t="s">
        <v>79</v>
      </c>
      <c r="BD390" t="s">
        <v>79</v>
      </c>
      <c r="BG390" t="s">
        <v>82</v>
      </c>
      <c r="BH390">
        <v>24</v>
      </c>
      <c r="BI390" t="s">
        <v>637</v>
      </c>
      <c r="BJ390" t="s">
        <v>638</v>
      </c>
      <c r="BK390" t="str">
        <f>"San Jose Village "</f>
        <v xml:space="preserve">San Jose Village </v>
      </c>
      <c r="BL390" t="str">
        <f>""</f>
        <v/>
      </c>
      <c r="BM390" t="str">
        <f>"Saipan "</f>
        <v xml:space="preserve">Saipan </v>
      </c>
      <c r="BO390" t="s">
        <v>83</v>
      </c>
      <c r="BP390" s="4" t="str">
        <f t="shared" si="241"/>
        <v>96950</v>
      </c>
      <c r="BQ390" t="s">
        <v>79</v>
      </c>
      <c r="BR390" t="str">
        <f>"17-3022.00"</f>
        <v>17-3022.00</v>
      </c>
      <c r="BS390" t="s">
        <v>490</v>
      </c>
      <c r="BT390" s="3">
        <v>16.75</v>
      </c>
      <c r="BU390" t="s">
        <v>80</v>
      </c>
      <c r="BV390" t="s">
        <v>90</v>
      </c>
      <c r="BW390" t="s">
        <v>92</v>
      </c>
      <c r="BZ390" s="1">
        <v>45107</v>
      </c>
    </row>
    <row r="391" spans="1:78" ht="15" customHeight="1" x14ac:dyDescent="0.25">
      <c r="A391" t="s">
        <v>588</v>
      </c>
      <c r="B391" t="s">
        <v>94</v>
      </c>
      <c r="C391" s="1">
        <v>44828</v>
      </c>
      <c r="D391" s="1">
        <v>44869</v>
      </c>
      <c r="H391" t="s">
        <v>78</v>
      </c>
      <c r="I391" t="str">
        <f>"ALINAS"</f>
        <v>ALINAS</v>
      </c>
      <c r="J391" t="str">
        <f>"ELEANOR"</f>
        <v>ELEANOR</v>
      </c>
      <c r="K391" t="str">
        <f>"BALANSAG"</f>
        <v>BALANSAG</v>
      </c>
      <c r="L391" t="str">
        <f>"PRESIDENT"</f>
        <v>PRESIDENT</v>
      </c>
      <c r="M391" t="str">
        <f>"AGINGAN LANE, SAN ANTONIO VILLAGE"</f>
        <v>AGINGAN LANE, SAN ANTONIO VILLAGE</v>
      </c>
      <c r="N391" t="str">
        <f>"PO BOX 505656"</f>
        <v>PO BOX 505656</v>
      </c>
      <c r="O391" t="str">
        <f>"SAIPAN"</f>
        <v>SAIPAN</v>
      </c>
      <c r="P391" t="str">
        <f t="shared" si="235"/>
        <v>MP</v>
      </c>
      <c r="Q391" s="4" t="str">
        <f t="shared" si="239"/>
        <v>96950</v>
      </c>
      <c r="R391" t="str">
        <f t="shared" si="236"/>
        <v>UNITED STATES OF AMERICA</v>
      </c>
      <c r="S391" t="str">
        <f>""</f>
        <v/>
      </c>
      <c r="T391" s="5" t="str">
        <f>"16702353027"</f>
        <v>16702353027</v>
      </c>
      <c r="U391" t="str">
        <f>""</f>
        <v/>
      </c>
      <c r="V391" s="5" t="str">
        <f>""</f>
        <v/>
      </c>
      <c r="W391" t="str">
        <f>"konstructcorp.spn@gmail.com"</f>
        <v>konstructcorp.spn@gmail.com</v>
      </c>
      <c r="X391" t="str">
        <f>"KONSTRUCT CORPORATION"</f>
        <v>KONSTRUCT CORPORATION</v>
      </c>
      <c r="Y391" t="str">
        <f>""</f>
        <v/>
      </c>
      <c r="Z391" t="str">
        <f>"AGINGAN LANE, SAN ANTONIO VILLAGE"</f>
        <v>AGINGAN LANE, SAN ANTONIO VILLAGE</v>
      </c>
      <c r="AA391" t="str">
        <f>"PO BOX 505656"</f>
        <v>PO BOX 505656</v>
      </c>
      <c r="AB391" t="str">
        <f>"SAIPAN"</f>
        <v>SAIPAN</v>
      </c>
      <c r="AC391" t="str">
        <f t="shared" si="237"/>
        <v>MP</v>
      </c>
      <c r="AD391" t="str">
        <f t="shared" si="240"/>
        <v>96950</v>
      </c>
      <c r="AE391" t="str">
        <f t="shared" si="238"/>
        <v>UNITED STATES OF AMERICA</v>
      </c>
      <c r="AF391" t="str">
        <f>""</f>
        <v/>
      </c>
      <c r="AG391" s="4" t="str">
        <f>"16702353027"</f>
        <v>16702353027</v>
      </c>
      <c r="AH391" t="str">
        <f>""</f>
        <v/>
      </c>
      <c r="AI391" t="str">
        <f>"23622"</f>
        <v>23622</v>
      </c>
      <c r="AJ391" t="s">
        <v>79</v>
      </c>
      <c r="AK391" t="s">
        <v>79</v>
      </c>
      <c r="AL391" t="s">
        <v>80</v>
      </c>
      <c r="AM391" t="s">
        <v>79</v>
      </c>
      <c r="AP391" t="str">
        <f>"BUILDING CLEANING WORKERS"</f>
        <v>BUILDING CLEANING WORKERS</v>
      </c>
      <c r="AQ391" t="str">
        <f>"37-2019.00"</f>
        <v>37-2019.00</v>
      </c>
      <c r="AR391" t="str">
        <f>"Building Cleaning Workers, All Other"</f>
        <v>Building Cleaning Workers, All Other</v>
      </c>
      <c r="AS391" t="str">
        <f>"MANAGER"</f>
        <v>MANAGER</v>
      </c>
      <c r="AT391" t="s">
        <v>79</v>
      </c>
      <c r="AU391" t="str">
        <f>""</f>
        <v/>
      </c>
      <c r="AV391" t="str">
        <f>""</f>
        <v/>
      </c>
      <c r="AW391" t="s">
        <v>79</v>
      </c>
      <c r="AX391" t="str">
        <f>""</f>
        <v/>
      </c>
      <c r="AY391" t="s">
        <v>84</v>
      </c>
      <c r="BA391" t="s">
        <v>80</v>
      </c>
      <c r="BB391" t="s">
        <v>79</v>
      </c>
      <c r="BD391" t="s">
        <v>79</v>
      </c>
      <c r="BG391" t="s">
        <v>82</v>
      </c>
      <c r="BH391">
        <v>3</v>
      </c>
      <c r="BI391" t="s">
        <v>589</v>
      </c>
      <c r="BJ391" t="s">
        <v>590</v>
      </c>
      <c r="BK391" t="str">
        <f>"AGINGAN LANE, SAN ANTONIO VILLAGE,"</f>
        <v>AGINGAN LANE, SAN ANTONIO VILLAGE,</v>
      </c>
      <c r="BL391" t="str">
        <f>"P.O. BOX 505656"</f>
        <v>P.O. BOX 505656</v>
      </c>
      <c r="BM391" t="str">
        <f>"SAIPAN"</f>
        <v>SAIPAN</v>
      </c>
      <c r="BO391" t="s">
        <v>83</v>
      </c>
      <c r="BP391" s="4" t="str">
        <f t="shared" si="241"/>
        <v>96950</v>
      </c>
      <c r="BQ391" t="s">
        <v>79</v>
      </c>
      <c r="BR391" t="str">
        <f>"37-2011.00"</f>
        <v>37-2011.00</v>
      </c>
      <c r="BS391" t="s">
        <v>313</v>
      </c>
      <c r="BT391" s="3">
        <v>7.99</v>
      </c>
      <c r="BU391" t="s">
        <v>80</v>
      </c>
      <c r="BV391" t="s">
        <v>90</v>
      </c>
      <c r="BW391" t="s">
        <v>92</v>
      </c>
      <c r="BZ391" s="1">
        <v>45107</v>
      </c>
    </row>
    <row r="392" spans="1:78" ht="15" customHeight="1" x14ac:dyDescent="0.25">
      <c r="A392" t="s">
        <v>591</v>
      </c>
      <c r="B392" t="s">
        <v>94</v>
      </c>
      <c r="C392" s="1">
        <v>44828</v>
      </c>
      <c r="D392" s="1">
        <v>44869</v>
      </c>
      <c r="H392" t="s">
        <v>78</v>
      </c>
      <c r="I392" t="str">
        <f>"Liban"</f>
        <v>Liban</v>
      </c>
      <c r="J392" t="str">
        <f>"Marshall Jose"</f>
        <v>Marshall Jose</v>
      </c>
      <c r="K392" t="str">
        <f>"Lumaban"</f>
        <v>Lumaban</v>
      </c>
      <c r="L392" t="str">
        <f>"General Manager"</f>
        <v>General Manager</v>
      </c>
      <c r="M392" t="str">
        <f>"306D Finasisu Terraces"</f>
        <v>306D Finasisu Terraces</v>
      </c>
      <c r="N392" t="str">
        <f>""</f>
        <v/>
      </c>
      <c r="O392" t="str">
        <f>"Saipan"</f>
        <v>Saipan</v>
      </c>
      <c r="P392" t="str">
        <f t="shared" si="235"/>
        <v>MP</v>
      </c>
      <c r="Q392" s="4" t="str">
        <f t="shared" si="239"/>
        <v>96950</v>
      </c>
      <c r="R392" t="str">
        <f t="shared" si="236"/>
        <v>UNITED STATES OF AMERICA</v>
      </c>
      <c r="S392" t="str">
        <f>"Northern Mariana Islands"</f>
        <v>Northern Mariana Islands</v>
      </c>
      <c r="T392" s="5" t="str">
        <f>"16702854775"</f>
        <v>16702854775</v>
      </c>
      <c r="U392" t="str">
        <f>""</f>
        <v/>
      </c>
      <c r="V392" s="5" t="str">
        <f>""</f>
        <v/>
      </c>
      <c r="W392" t="str">
        <f>"manager@hmpacificllc.com"</f>
        <v>manager@hmpacificllc.com</v>
      </c>
      <c r="X392" t="str">
        <f>"HM PACIFIC LLC"</f>
        <v>HM PACIFIC LLC</v>
      </c>
      <c r="Y392" t="str">
        <f>"HM PACIFIC SYSTEMS LLC"</f>
        <v>HM PACIFIC SYSTEMS LLC</v>
      </c>
      <c r="Z392" t="str">
        <f>"3589 Chalan Msgr Gurrero Road"</f>
        <v>3589 Chalan Msgr Gurrero Road</v>
      </c>
      <c r="AA392" t="str">
        <f>"Lower Dandan"</f>
        <v>Lower Dandan</v>
      </c>
      <c r="AB392" t="str">
        <f>"Saipan"</f>
        <v>Saipan</v>
      </c>
      <c r="AC392" t="str">
        <f t="shared" si="237"/>
        <v>MP</v>
      </c>
      <c r="AD392" t="str">
        <f t="shared" si="240"/>
        <v>96950</v>
      </c>
      <c r="AE392" t="str">
        <f t="shared" si="238"/>
        <v>UNITED STATES OF AMERICA</v>
      </c>
      <c r="AF392" t="str">
        <f>"MP"</f>
        <v>MP</v>
      </c>
      <c r="AG392" s="4" t="str">
        <f>"16702344010"</f>
        <v>16702344010</v>
      </c>
      <c r="AH392" t="str">
        <f>""</f>
        <v/>
      </c>
      <c r="AI392" t="str">
        <f>"561320"</f>
        <v>561320</v>
      </c>
      <c r="AJ392" t="s">
        <v>79</v>
      </c>
      <c r="AK392" t="s">
        <v>79</v>
      </c>
      <c r="AL392" t="s">
        <v>80</v>
      </c>
      <c r="AM392" t="s">
        <v>79</v>
      </c>
      <c r="AP392" t="str">
        <f>"Maintenance and Repair Workers, General"</f>
        <v>Maintenance and Repair Workers, General</v>
      </c>
      <c r="AQ392" t="str">
        <f>"49-9071.00"</f>
        <v>49-9071.00</v>
      </c>
      <c r="AR392" t="str">
        <f>"Maintenance and Repair Workers, General"</f>
        <v>Maintenance and Repair Workers, General</v>
      </c>
      <c r="AS392" t="str">
        <f>"n/a"</f>
        <v>n/a</v>
      </c>
      <c r="AT392" t="s">
        <v>79</v>
      </c>
      <c r="AU392" t="str">
        <f>""</f>
        <v/>
      </c>
      <c r="AV392" t="str">
        <f>""</f>
        <v/>
      </c>
      <c r="AW392" t="s">
        <v>79</v>
      </c>
      <c r="AX392" t="str">
        <f>""</f>
        <v/>
      </c>
      <c r="AY392" t="s">
        <v>84</v>
      </c>
      <c r="BA392" t="s">
        <v>80</v>
      </c>
      <c r="BB392" t="s">
        <v>79</v>
      </c>
      <c r="BD392" t="s">
        <v>79</v>
      </c>
      <c r="BG392" t="s">
        <v>82</v>
      </c>
      <c r="BH392">
        <v>12</v>
      </c>
      <c r="BI392" t="s">
        <v>592</v>
      </c>
      <c r="BJ392" t="s">
        <v>593</v>
      </c>
      <c r="BK392" t="str">
        <f>"3589 Chalan Msgr Guerrero"</f>
        <v>3589 Chalan Msgr Guerrero</v>
      </c>
      <c r="BL392" t="str">
        <f>""</f>
        <v/>
      </c>
      <c r="BM392" t="str">
        <f>"Saipan"</f>
        <v>Saipan</v>
      </c>
      <c r="BO392" t="s">
        <v>83</v>
      </c>
      <c r="BP392" s="4" t="str">
        <f t="shared" si="241"/>
        <v>96950</v>
      </c>
      <c r="BQ392" t="s">
        <v>79</v>
      </c>
      <c r="BR392" t="str">
        <f>"49-9071.00"</f>
        <v>49-9071.00</v>
      </c>
      <c r="BS392" t="s">
        <v>146</v>
      </c>
      <c r="BT392" s="3">
        <v>9.19</v>
      </c>
      <c r="BU392" t="s">
        <v>80</v>
      </c>
      <c r="BV392" t="s">
        <v>90</v>
      </c>
      <c r="BW392" t="s">
        <v>92</v>
      </c>
      <c r="BZ392" s="1">
        <v>45107</v>
      </c>
    </row>
    <row r="393" spans="1:78" ht="15" customHeight="1" x14ac:dyDescent="0.25">
      <c r="A393" t="s">
        <v>594</v>
      </c>
      <c r="B393" t="s">
        <v>94</v>
      </c>
      <c r="C393" s="1">
        <v>44828</v>
      </c>
      <c r="D393" s="1">
        <v>44869</v>
      </c>
      <c r="H393" t="s">
        <v>78</v>
      </c>
      <c r="I393" t="str">
        <f>"ALINAS"</f>
        <v>ALINAS</v>
      </c>
      <c r="J393" t="str">
        <f>"ELEANOR"</f>
        <v>ELEANOR</v>
      </c>
      <c r="K393" t="str">
        <f>"BALANSAG"</f>
        <v>BALANSAG</v>
      </c>
      <c r="L393" t="str">
        <f>"PRESIDENT"</f>
        <v>PRESIDENT</v>
      </c>
      <c r="M393" t="str">
        <f>"AGINGAN LANE, SAN ANTONIO VILLAGE,"</f>
        <v>AGINGAN LANE, SAN ANTONIO VILLAGE,</v>
      </c>
      <c r="N393" t="str">
        <f>"P.O. BOX 505656"</f>
        <v>P.O. BOX 505656</v>
      </c>
      <c r="O393" t="str">
        <f>"SAIPAN"</f>
        <v>SAIPAN</v>
      </c>
      <c r="P393" t="str">
        <f>"FM"</f>
        <v>FM</v>
      </c>
      <c r="Q393" s="4" t="str">
        <f t="shared" si="239"/>
        <v>96950</v>
      </c>
      <c r="R393" t="str">
        <f t="shared" si="236"/>
        <v>UNITED STATES OF AMERICA</v>
      </c>
      <c r="S393" t="str">
        <f>""</f>
        <v/>
      </c>
      <c r="T393" s="5" t="str">
        <f>"16702353027"</f>
        <v>16702353027</v>
      </c>
      <c r="U393" t="str">
        <f>""</f>
        <v/>
      </c>
      <c r="V393" s="5" t="str">
        <f>""</f>
        <v/>
      </c>
      <c r="W393" t="str">
        <f>"konstructcorp.spn@gmail.com"</f>
        <v>konstructcorp.spn@gmail.com</v>
      </c>
      <c r="X393" t="str">
        <f>"KONSTRUCT CORPORATION"</f>
        <v>KONSTRUCT CORPORATION</v>
      </c>
      <c r="Y393" t="str">
        <f>""</f>
        <v/>
      </c>
      <c r="Z393" t="str">
        <f>"AGINGAN LANE, SAN ANTONIO VILLAGE"</f>
        <v>AGINGAN LANE, SAN ANTONIO VILLAGE</v>
      </c>
      <c r="AA393" t="str">
        <f>"P.O. BOX 505656"</f>
        <v>P.O. BOX 505656</v>
      </c>
      <c r="AB393" t="str">
        <f>"SAIPAN"</f>
        <v>SAIPAN</v>
      </c>
      <c r="AC393" t="str">
        <f t="shared" si="237"/>
        <v>MP</v>
      </c>
      <c r="AD393" t="str">
        <f t="shared" si="240"/>
        <v>96950</v>
      </c>
      <c r="AE393" t="str">
        <f t="shared" si="238"/>
        <v>UNITED STATES OF AMERICA</v>
      </c>
      <c r="AF393" t="str">
        <f>""</f>
        <v/>
      </c>
      <c r="AG393" s="4" t="str">
        <f>"16702353027"</f>
        <v>16702353027</v>
      </c>
      <c r="AH393" t="str">
        <f>""</f>
        <v/>
      </c>
      <c r="AI393" t="str">
        <f>"23622"</f>
        <v>23622</v>
      </c>
      <c r="AJ393" t="s">
        <v>79</v>
      </c>
      <c r="AK393" t="s">
        <v>79</v>
      </c>
      <c r="AL393" t="s">
        <v>80</v>
      </c>
      <c r="AM393" t="s">
        <v>79</v>
      </c>
      <c r="AP393" t="str">
        <f>"LANDSCAPING &amp; GROUNDSKEEPING WORKERS"</f>
        <v>LANDSCAPING &amp; GROUNDSKEEPING WORKERS</v>
      </c>
      <c r="AQ393" t="str">
        <f>"37-3011.00"</f>
        <v>37-3011.00</v>
      </c>
      <c r="AR393" t="str">
        <f>"Landscaping and Groundskeeping Workers"</f>
        <v>Landscaping and Groundskeeping Workers</v>
      </c>
      <c r="AS393" t="str">
        <f>"MANAGER"</f>
        <v>MANAGER</v>
      </c>
      <c r="AT393" t="s">
        <v>79</v>
      </c>
      <c r="AU393" t="str">
        <f>""</f>
        <v/>
      </c>
      <c r="AV393" t="str">
        <f>""</f>
        <v/>
      </c>
      <c r="AW393" t="s">
        <v>79</v>
      </c>
      <c r="AX393" t="str">
        <f>""</f>
        <v/>
      </c>
      <c r="AY393" t="s">
        <v>84</v>
      </c>
      <c r="BA393" t="s">
        <v>80</v>
      </c>
      <c r="BB393" t="s">
        <v>79</v>
      </c>
      <c r="BD393" t="s">
        <v>79</v>
      </c>
      <c r="BG393" t="s">
        <v>82</v>
      </c>
      <c r="BH393">
        <v>3</v>
      </c>
      <c r="BI393" t="s">
        <v>595</v>
      </c>
      <c r="BJ393" t="s">
        <v>596</v>
      </c>
      <c r="BK393" t="str">
        <f>"AGINGAN LANE, SAN ANTONIO VILLAGE, SAIPAN"</f>
        <v>AGINGAN LANE, SAN ANTONIO VILLAGE, SAIPAN</v>
      </c>
      <c r="BL393" t="str">
        <f>"P.O. BOX 505656"</f>
        <v>P.O. BOX 505656</v>
      </c>
      <c r="BM393" t="str">
        <f>"SAIPAN"</f>
        <v>SAIPAN</v>
      </c>
      <c r="BO393" t="s">
        <v>83</v>
      </c>
      <c r="BP393" s="4" t="str">
        <f t="shared" si="241"/>
        <v>96950</v>
      </c>
      <c r="BQ393" t="s">
        <v>79</v>
      </c>
      <c r="BR393" t="str">
        <f>"37-3011.00"</f>
        <v>37-3011.00</v>
      </c>
      <c r="BS393" t="s">
        <v>122</v>
      </c>
      <c r="BT393" s="3">
        <v>8.1300000000000008</v>
      </c>
      <c r="BU393" t="s">
        <v>80</v>
      </c>
      <c r="BV393" t="s">
        <v>90</v>
      </c>
      <c r="BW393" t="s">
        <v>92</v>
      </c>
      <c r="BZ393" s="1">
        <v>45107</v>
      </c>
    </row>
    <row r="394" spans="1:78" ht="15" customHeight="1" x14ac:dyDescent="0.25">
      <c r="A394" t="s">
        <v>597</v>
      </c>
      <c r="B394" t="s">
        <v>94</v>
      </c>
      <c r="C394" s="1">
        <v>44828</v>
      </c>
      <c r="D394" s="1">
        <v>44869</v>
      </c>
      <c r="H394" t="s">
        <v>78</v>
      </c>
      <c r="I394" t="str">
        <f>"ALINAS"</f>
        <v>ALINAS</v>
      </c>
      <c r="J394" t="str">
        <f>"ELEANOR"</f>
        <v>ELEANOR</v>
      </c>
      <c r="K394" t="str">
        <f>"BALANSAG"</f>
        <v>BALANSAG</v>
      </c>
      <c r="L394" t="str">
        <f>"PRESIDENT"</f>
        <v>PRESIDENT</v>
      </c>
      <c r="M394" t="str">
        <f>"AGINGAN LANE, SAN ANTONIO VILLAGE"</f>
        <v>AGINGAN LANE, SAN ANTONIO VILLAGE</v>
      </c>
      <c r="N394" t="str">
        <f>"P.O. BOX 505656"</f>
        <v>P.O. BOX 505656</v>
      </c>
      <c r="O394" t="str">
        <f>"SAIPAN"</f>
        <v>SAIPAN</v>
      </c>
      <c r="P394" t="str">
        <f t="shared" ref="P394:P433" si="242">"MP"</f>
        <v>MP</v>
      </c>
      <c r="Q394" s="4" t="str">
        <f t="shared" si="239"/>
        <v>96950</v>
      </c>
      <c r="R394" t="str">
        <f t="shared" si="236"/>
        <v>UNITED STATES OF AMERICA</v>
      </c>
      <c r="S394" t="str">
        <f>""</f>
        <v/>
      </c>
      <c r="T394" s="5" t="str">
        <f>"16702353027"</f>
        <v>16702353027</v>
      </c>
      <c r="U394" t="str">
        <f>""</f>
        <v/>
      </c>
      <c r="V394" s="5" t="str">
        <f>""</f>
        <v/>
      </c>
      <c r="W394" t="str">
        <f>"konstructcorp.spn@gmail.com"</f>
        <v>konstructcorp.spn@gmail.com</v>
      </c>
      <c r="X394" t="str">
        <f>"KONSTRUCT CORPORATION"</f>
        <v>KONSTRUCT CORPORATION</v>
      </c>
      <c r="Y394" t="str">
        <f>""</f>
        <v/>
      </c>
      <c r="Z394" t="str">
        <f>"AGINGAN LANE, SAN ANTONIO VILLAGE"</f>
        <v>AGINGAN LANE, SAN ANTONIO VILLAGE</v>
      </c>
      <c r="AA394" t="str">
        <f>"P.O. BOX 505656"</f>
        <v>P.O. BOX 505656</v>
      </c>
      <c r="AB394" t="str">
        <f>"SAIPAN"</f>
        <v>SAIPAN</v>
      </c>
      <c r="AC394" t="str">
        <f t="shared" si="237"/>
        <v>MP</v>
      </c>
      <c r="AD394" t="str">
        <f t="shared" si="240"/>
        <v>96950</v>
      </c>
      <c r="AE394" t="str">
        <f t="shared" si="238"/>
        <v>UNITED STATES OF AMERICA</v>
      </c>
      <c r="AF394" t="str">
        <f>""</f>
        <v/>
      </c>
      <c r="AG394" s="4" t="str">
        <f>"16702353027"</f>
        <v>16702353027</v>
      </c>
      <c r="AH394" t="str">
        <f>""</f>
        <v/>
      </c>
      <c r="AI394" t="str">
        <f>"23622"</f>
        <v>23622</v>
      </c>
      <c r="AJ394" t="s">
        <v>79</v>
      </c>
      <c r="AK394" t="s">
        <v>79</v>
      </c>
      <c r="AL394" t="s">
        <v>80</v>
      </c>
      <c r="AM394" t="s">
        <v>79</v>
      </c>
      <c r="AP394" t="str">
        <f>"BUILDING MAINTENANCE MECHANIC"</f>
        <v>BUILDING MAINTENANCE MECHANIC</v>
      </c>
      <c r="AQ394" t="str">
        <f>"49-9071.00"</f>
        <v>49-9071.00</v>
      </c>
      <c r="AR394" t="str">
        <f>"Maintenance and Repair Workers, General"</f>
        <v>Maintenance and Repair Workers, General</v>
      </c>
      <c r="AS394" t="str">
        <f>"MANAGER"</f>
        <v>MANAGER</v>
      </c>
      <c r="AT394" t="s">
        <v>79</v>
      </c>
      <c r="AU394" t="str">
        <f>""</f>
        <v/>
      </c>
      <c r="AV394" t="str">
        <f>""</f>
        <v/>
      </c>
      <c r="AW394" t="s">
        <v>79</v>
      </c>
      <c r="AX394" t="str">
        <f>""</f>
        <v/>
      </c>
      <c r="AY394" t="s">
        <v>84</v>
      </c>
      <c r="BA394" t="s">
        <v>80</v>
      </c>
      <c r="BB394" t="s">
        <v>79</v>
      </c>
      <c r="BD394" t="s">
        <v>79</v>
      </c>
      <c r="BG394" t="s">
        <v>82</v>
      </c>
      <c r="BH394">
        <v>3</v>
      </c>
      <c r="BI394" t="s">
        <v>589</v>
      </c>
      <c r="BJ394" t="s">
        <v>598</v>
      </c>
      <c r="BK394" t="str">
        <f>"AGINGAN LANE, SAN ANTONIO VILLAGE,"</f>
        <v>AGINGAN LANE, SAN ANTONIO VILLAGE,</v>
      </c>
      <c r="BL394" t="str">
        <f>"P.O. BOX 505656"</f>
        <v>P.O. BOX 505656</v>
      </c>
      <c r="BM394" t="str">
        <f>"SAIPAN"</f>
        <v>SAIPAN</v>
      </c>
      <c r="BO394" t="s">
        <v>83</v>
      </c>
      <c r="BP394" s="4" t="str">
        <f t="shared" si="241"/>
        <v>96950</v>
      </c>
      <c r="BQ394" t="s">
        <v>79</v>
      </c>
      <c r="BR394" t="str">
        <f>"49-9071.00"</f>
        <v>49-9071.00</v>
      </c>
      <c r="BS394" t="s">
        <v>146</v>
      </c>
      <c r="BT394" s="3">
        <v>9.19</v>
      </c>
      <c r="BU394" t="s">
        <v>80</v>
      </c>
      <c r="BV394" t="s">
        <v>90</v>
      </c>
      <c r="BW394" t="s">
        <v>92</v>
      </c>
      <c r="BZ394" s="1">
        <v>45107</v>
      </c>
    </row>
    <row r="395" spans="1:78" ht="15" customHeight="1" x14ac:dyDescent="0.25">
      <c r="A395" t="s">
        <v>599</v>
      </c>
      <c r="B395" t="s">
        <v>94</v>
      </c>
      <c r="C395" s="1">
        <v>44828</v>
      </c>
      <c r="D395" s="1">
        <v>44869</v>
      </c>
      <c r="H395" t="s">
        <v>78</v>
      </c>
      <c r="I395" t="str">
        <f>"LIAO"</f>
        <v>LIAO</v>
      </c>
      <c r="J395" t="str">
        <f>"GUO HONG"</f>
        <v>GUO HONG</v>
      </c>
      <c r="K395" t="str">
        <f>""</f>
        <v/>
      </c>
      <c r="L395" t="str">
        <f>"CORPORATE SECRETARY"</f>
        <v>CORPORATE SECRETARY</v>
      </c>
      <c r="M395" t="str">
        <f>"BEACH ROAD, GARAPAN"</f>
        <v>BEACH ROAD, GARAPAN</v>
      </c>
      <c r="N395" t="str">
        <f>"PMB 300 P.O. BOX 10002"</f>
        <v>PMB 300 P.O. BOX 10002</v>
      </c>
      <c r="O395" t="str">
        <f>"SAIPAN"</f>
        <v>SAIPAN</v>
      </c>
      <c r="P395" t="str">
        <f t="shared" si="242"/>
        <v>MP</v>
      </c>
      <c r="Q395" s="4" t="str">
        <f t="shared" si="239"/>
        <v>96950</v>
      </c>
      <c r="R395" t="str">
        <f t="shared" si="236"/>
        <v>UNITED STATES OF AMERICA</v>
      </c>
      <c r="S395" t="str">
        <f>""</f>
        <v/>
      </c>
      <c r="T395" s="5" t="str">
        <f>"16702358901"</f>
        <v>16702358901</v>
      </c>
      <c r="U395" t="str">
        <f>""</f>
        <v/>
      </c>
      <c r="V395" s="5" t="str">
        <f>""</f>
        <v/>
      </c>
      <c r="W395" t="str">
        <f>"greesaipan@hotmail.com"</f>
        <v>greesaipan@hotmail.com</v>
      </c>
      <c r="X395" t="s">
        <v>600</v>
      </c>
      <c r="Y395" t="str">
        <f>"GREE AIR CONDITIONER"</f>
        <v>GREE AIR CONDITIONER</v>
      </c>
      <c r="Z395" t="str">
        <f>"BEACH ROAD, GARAPAN"</f>
        <v>BEACH ROAD, GARAPAN</v>
      </c>
      <c r="AA395" t="str">
        <f>"PMB 300 P.O. BOX 10002"</f>
        <v>PMB 300 P.O. BOX 10002</v>
      </c>
      <c r="AB395" t="str">
        <f>"SAIPAN"</f>
        <v>SAIPAN</v>
      </c>
      <c r="AC395" t="str">
        <f t="shared" si="237"/>
        <v>MP</v>
      </c>
      <c r="AD395" t="str">
        <f t="shared" si="240"/>
        <v>96950</v>
      </c>
      <c r="AE395" t="str">
        <f t="shared" si="238"/>
        <v>UNITED STATES OF AMERICA</v>
      </c>
      <c r="AF395" t="str">
        <f>"N/A"</f>
        <v>N/A</v>
      </c>
      <c r="AG395" s="4" t="str">
        <f>"16702358901"</f>
        <v>16702358901</v>
      </c>
      <c r="AH395" t="str">
        <f>""</f>
        <v/>
      </c>
      <c r="AI395" t="str">
        <f>"811412"</f>
        <v>811412</v>
      </c>
      <c r="AJ395" t="s">
        <v>79</v>
      </c>
      <c r="AK395" t="s">
        <v>79</v>
      </c>
      <c r="AL395" t="s">
        <v>80</v>
      </c>
      <c r="AM395" t="s">
        <v>79</v>
      </c>
      <c r="AP395" t="str">
        <f>"AIRCON TECHNICIAN"</f>
        <v>AIRCON TECHNICIAN</v>
      </c>
      <c r="AQ395" t="str">
        <f>"49-9021.00"</f>
        <v>49-9021.00</v>
      </c>
      <c r="AR395" t="str">
        <f>"Heating, Air Conditioning, and Refrigeration Mechanics and Installers"</f>
        <v>Heating, Air Conditioning, and Refrigeration Mechanics and Installers</v>
      </c>
      <c r="AS395" t="str">
        <f>"MANAGER"</f>
        <v>MANAGER</v>
      </c>
      <c r="AT395" t="s">
        <v>79</v>
      </c>
      <c r="AU395" t="str">
        <f>""</f>
        <v/>
      </c>
      <c r="AV395" t="str">
        <f>""</f>
        <v/>
      </c>
      <c r="AW395" t="s">
        <v>79</v>
      </c>
      <c r="AX395" t="str">
        <f>""</f>
        <v/>
      </c>
      <c r="AY395" t="s">
        <v>84</v>
      </c>
      <c r="BA395" t="s">
        <v>80</v>
      </c>
      <c r="BB395" t="s">
        <v>79</v>
      </c>
      <c r="BD395" t="s">
        <v>79</v>
      </c>
      <c r="BG395" t="s">
        <v>82</v>
      </c>
      <c r="BH395">
        <v>12</v>
      </c>
      <c r="BI395" t="s">
        <v>601</v>
      </c>
      <c r="BJ395" s="2" t="s">
        <v>602</v>
      </c>
      <c r="BK395" t="str">
        <f>"BEACH ROAD, GARAPAN"</f>
        <v>BEACH ROAD, GARAPAN</v>
      </c>
      <c r="BL395" t="str">
        <f>""</f>
        <v/>
      </c>
      <c r="BM395" t="str">
        <f>"SAIPAN"</f>
        <v>SAIPAN</v>
      </c>
      <c r="BO395" t="s">
        <v>83</v>
      </c>
      <c r="BP395" s="4" t="str">
        <f t="shared" si="241"/>
        <v>96950</v>
      </c>
      <c r="BQ395" t="s">
        <v>79</v>
      </c>
      <c r="BR395" t="str">
        <f>"49-9021.00"</f>
        <v>49-9021.00</v>
      </c>
      <c r="BS395" t="s">
        <v>177</v>
      </c>
      <c r="BT395" s="3">
        <v>9.6999999999999993</v>
      </c>
      <c r="BU395" t="s">
        <v>80</v>
      </c>
      <c r="BV395" t="s">
        <v>90</v>
      </c>
      <c r="BW395" t="s">
        <v>92</v>
      </c>
      <c r="BZ395" s="1">
        <v>45107</v>
      </c>
    </row>
    <row r="396" spans="1:78" ht="15" customHeight="1" x14ac:dyDescent="0.25">
      <c r="A396" t="s">
        <v>567</v>
      </c>
      <c r="B396" t="s">
        <v>94</v>
      </c>
      <c r="C396" s="1">
        <v>44827</v>
      </c>
      <c r="D396" s="1">
        <v>44869</v>
      </c>
      <c r="H396" t="s">
        <v>78</v>
      </c>
      <c r="I396" t="str">
        <f>"Zhang"</f>
        <v>Zhang</v>
      </c>
      <c r="J396" t="str">
        <f>"Huaying"</f>
        <v>Huaying</v>
      </c>
      <c r="K396" t="str">
        <f>""</f>
        <v/>
      </c>
      <c r="L396" t="str">
        <f>"President"</f>
        <v>President</v>
      </c>
      <c r="M396" t="str">
        <f>"Paseo De Marianas"</f>
        <v>Paseo De Marianas</v>
      </c>
      <c r="N396" t="str">
        <f>""</f>
        <v/>
      </c>
      <c r="O396" t="str">
        <f>"Saipan"</f>
        <v>Saipan</v>
      </c>
      <c r="P396" t="str">
        <f t="shared" si="242"/>
        <v>MP</v>
      </c>
      <c r="Q396" s="4" t="str">
        <f t="shared" si="239"/>
        <v>96950</v>
      </c>
      <c r="R396" t="str">
        <f t="shared" si="236"/>
        <v>UNITED STATES OF AMERICA</v>
      </c>
      <c r="S396" t="str">
        <f>""</f>
        <v/>
      </c>
      <c r="T396" s="5" t="str">
        <f>"16702331818"</f>
        <v>16702331818</v>
      </c>
      <c r="U396" t="str">
        <f>""</f>
        <v/>
      </c>
      <c r="V396" s="5" t="str">
        <f>""</f>
        <v/>
      </c>
      <c r="W396" t="str">
        <f>"HANAMITSUHOTEL@GMAIL.COM"</f>
        <v>HANAMITSUHOTEL@GMAIL.COM</v>
      </c>
      <c r="X396" t="str">
        <f>"Amy International Corporation"</f>
        <v>Amy International Corporation</v>
      </c>
      <c r="Y396" t="str">
        <f>""</f>
        <v/>
      </c>
      <c r="Z396" t="str">
        <f>"Paseo De Marianas"</f>
        <v>Paseo De Marianas</v>
      </c>
      <c r="AA396" t="str">
        <f>""</f>
        <v/>
      </c>
      <c r="AB396" t="str">
        <f>"Saipan"</f>
        <v>Saipan</v>
      </c>
      <c r="AC396" t="str">
        <f t="shared" si="237"/>
        <v>MP</v>
      </c>
      <c r="AD396" t="str">
        <f t="shared" si="240"/>
        <v>96950</v>
      </c>
      <c r="AE396" t="str">
        <f t="shared" si="238"/>
        <v>UNITED STATES OF AMERICA</v>
      </c>
      <c r="AF396" t="str">
        <f>""</f>
        <v/>
      </c>
      <c r="AG396" s="4" t="str">
        <f>"16702331818"</f>
        <v>16702331818</v>
      </c>
      <c r="AH396" t="str">
        <f>""</f>
        <v/>
      </c>
      <c r="AI396" t="str">
        <f>"812921"</f>
        <v>812921</v>
      </c>
      <c r="AJ396" t="s">
        <v>79</v>
      </c>
      <c r="AK396" t="s">
        <v>79</v>
      </c>
      <c r="AL396" t="s">
        <v>80</v>
      </c>
      <c r="AM396" t="s">
        <v>79</v>
      </c>
      <c r="AP396" t="str">
        <f>"Photographer"</f>
        <v>Photographer</v>
      </c>
      <c r="AQ396" t="str">
        <f>"27-4021.00"</f>
        <v>27-4021.00</v>
      </c>
      <c r="AR396" t="str">
        <f>"Photographers"</f>
        <v>Photographers</v>
      </c>
      <c r="AS396" t="str">
        <f>""</f>
        <v/>
      </c>
      <c r="AT396" t="s">
        <v>79</v>
      </c>
      <c r="AU396" t="str">
        <f>""</f>
        <v/>
      </c>
      <c r="AV396" t="str">
        <f>""</f>
        <v/>
      </c>
      <c r="AW396" t="s">
        <v>79</v>
      </c>
      <c r="AX396" t="str">
        <f>""</f>
        <v/>
      </c>
      <c r="AY396" t="s">
        <v>84</v>
      </c>
      <c r="BA396" t="s">
        <v>80</v>
      </c>
      <c r="BB396" t="s">
        <v>79</v>
      </c>
      <c r="BD396" t="s">
        <v>79</v>
      </c>
      <c r="BG396" t="s">
        <v>82</v>
      </c>
      <c r="BH396">
        <v>12</v>
      </c>
      <c r="BI396" t="s">
        <v>568</v>
      </c>
      <c r="BJ396" s="2" t="s">
        <v>569</v>
      </c>
      <c r="BK396" t="str">
        <f>"PASEO DE MARIANAS"</f>
        <v>PASEO DE MARIANAS</v>
      </c>
      <c r="BL396" t="str">
        <f>""</f>
        <v/>
      </c>
      <c r="BM396" t="str">
        <f>"Saipan"</f>
        <v>Saipan</v>
      </c>
      <c r="BO396" t="s">
        <v>83</v>
      </c>
      <c r="BP396" s="4" t="str">
        <f t="shared" si="241"/>
        <v>96950</v>
      </c>
      <c r="BQ396" t="s">
        <v>79</v>
      </c>
      <c r="BR396" t="str">
        <f>"27-4021.00"</f>
        <v>27-4021.00</v>
      </c>
      <c r="BS396" t="s">
        <v>570</v>
      </c>
      <c r="BT396" s="3">
        <v>15.76</v>
      </c>
      <c r="BU396" t="s">
        <v>80</v>
      </c>
      <c r="BV396" t="s">
        <v>90</v>
      </c>
      <c r="BW396" t="s">
        <v>265</v>
      </c>
      <c r="BZ396" s="1">
        <v>45107</v>
      </c>
    </row>
    <row r="397" spans="1:78" ht="15" customHeight="1" x14ac:dyDescent="0.25">
      <c r="A397" t="s">
        <v>571</v>
      </c>
      <c r="B397" t="s">
        <v>94</v>
      </c>
      <c r="C397" s="1">
        <v>44827</v>
      </c>
      <c r="D397" s="1">
        <v>44869</v>
      </c>
      <c r="H397" t="s">
        <v>78</v>
      </c>
      <c r="I397" t="str">
        <f>"XU"</f>
        <v>XU</v>
      </c>
      <c r="J397" t="str">
        <f>"GUORONG"</f>
        <v>GUORONG</v>
      </c>
      <c r="K397" t="str">
        <f>""</f>
        <v/>
      </c>
      <c r="L397" t="str">
        <f>"SECRETARY"</f>
        <v>SECRETARY</v>
      </c>
      <c r="M397" t="str">
        <f>"Chalan Kanoa Dr, Chalan Kanoa "</f>
        <v xml:space="preserve">Chalan Kanoa Dr, Chalan Kanoa </v>
      </c>
      <c r="N397" t="str">
        <f>""</f>
        <v/>
      </c>
      <c r="O397" t="str">
        <f>"SAIPAN"</f>
        <v>SAIPAN</v>
      </c>
      <c r="P397" t="str">
        <f t="shared" si="242"/>
        <v>MP</v>
      </c>
      <c r="Q397" s="4" t="str">
        <f t="shared" si="239"/>
        <v>96950</v>
      </c>
      <c r="R397" t="str">
        <f t="shared" si="236"/>
        <v>UNITED STATES OF AMERICA</v>
      </c>
      <c r="S397" t="str">
        <f>""</f>
        <v/>
      </c>
      <c r="T397" s="5" t="str">
        <f>"16704845868"</f>
        <v>16704845868</v>
      </c>
      <c r="U397" t="str">
        <f>""</f>
        <v/>
      </c>
      <c r="V397" s="5" t="str">
        <f>""</f>
        <v/>
      </c>
      <c r="W397" t="str">
        <f>"linsqiangshencorp@yahoo.com"</f>
        <v>linsqiangshencorp@yahoo.com</v>
      </c>
      <c r="X397" t="str">
        <f>"LINS QIANGSHENG CORP"</f>
        <v>LINS QIANGSHENG CORP</v>
      </c>
      <c r="Y397" t="str">
        <f>"XUAN MARKET "</f>
        <v xml:space="preserve">XUAN MARKET </v>
      </c>
      <c r="Z397" t="str">
        <f>"Chalan Kanoa Dr, Chalan Kanoa"</f>
        <v>Chalan Kanoa Dr, Chalan Kanoa</v>
      </c>
      <c r="AA397" t="str">
        <f>""</f>
        <v/>
      </c>
      <c r="AB397" t="str">
        <f>"SAIPAN"</f>
        <v>SAIPAN</v>
      </c>
      <c r="AC397" t="str">
        <f t="shared" si="237"/>
        <v>MP</v>
      </c>
      <c r="AD397" t="str">
        <f t="shared" si="240"/>
        <v>96950</v>
      </c>
      <c r="AE397" t="str">
        <f t="shared" si="238"/>
        <v>UNITED STATES OF AMERICA</v>
      </c>
      <c r="AF397" t="str">
        <f>""</f>
        <v/>
      </c>
      <c r="AG397" s="4" t="str">
        <f>"16704845868"</f>
        <v>16704845868</v>
      </c>
      <c r="AH397" t="str">
        <f>""</f>
        <v/>
      </c>
      <c r="AI397" t="str">
        <f>"4451"</f>
        <v>4451</v>
      </c>
      <c r="AJ397" t="s">
        <v>79</v>
      </c>
      <c r="AK397" t="s">
        <v>79</v>
      </c>
      <c r="AL397" t="s">
        <v>80</v>
      </c>
      <c r="AM397" t="s">
        <v>79</v>
      </c>
      <c r="AP397" t="str">
        <f>"FARMER"</f>
        <v>FARMER</v>
      </c>
      <c r="AQ397" t="str">
        <f>"45-2092.00"</f>
        <v>45-2092.00</v>
      </c>
      <c r="AR397" t="str">
        <f>"Farmworkers and Laborers, Crop, Nursery, and Greenhouse"</f>
        <v>Farmworkers and Laborers, Crop, Nursery, and Greenhouse</v>
      </c>
      <c r="AS397" t="str">
        <f>""</f>
        <v/>
      </c>
      <c r="AT397" t="s">
        <v>79</v>
      </c>
      <c r="AU397" t="str">
        <f>""</f>
        <v/>
      </c>
      <c r="AV397" t="str">
        <f>""</f>
        <v/>
      </c>
      <c r="AW397" t="s">
        <v>79</v>
      </c>
      <c r="AX397" t="str">
        <f>""</f>
        <v/>
      </c>
      <c r="AY397" t="s">
        <v>81</v>
      </c>
      <c r="BA397" t="s">
        <v>80</v>
      </c>
      <c r="BB397" t="s">
        <v>79</v>
      </c>
      <c r="BD397" t="s">
        <v>79</v>
      </c>
      <c r="BG397" t="s">
        <v>82</v>
      </c>
      <c r="BH397">
        <v>3</v>
      </c>
      <c r="BI397" t="s">
        <v>572</v>
      </c>
      <c r="BJ397" t="s">
        <v>573</v>
      </c>
      <c r="BK397" t="str">
        <f>"Chalan Kanoa Dr, Chalan Kanoa"</f>
        <v>Chalan Kanoa Dr, Chalan Kanoa</v>
      </c>
      <c r="BL397" t="str">
        <f>""</f>
        <v/>
      </c>
      <c r="BM397" t="str">
        <f>"SAIPAN"</f>
        <v>SAIPAN</v>
      </c>
      <c r="BO397" t="s">
        <v>83</v>
      </c>
      <c r="BP397" s="4" t="str">
        <f t="shared" si="241"/>
        <v>96950</v>
      </c>
      <c r="BQ397" t="s">
        <v>79</v>
      </c>
      <c r="BR397" t="str">
        <f>"45-2093.00"</f>
        <v>45-2093.00</v>
      </c>
      <c r="BS397" t="s">
        <v>574</v>
      </c>
      <c r="BT397" s="3">
        <v>10.51</v>
      </c>
      <c r="BU397" t="s">
        <v>80</v>
      </c>
      <c r="BV397" t="s">
        <v>90</v>
      </c>
      <c r="BW397" t="s">
        <v>265</v>
      </c>
      <c r="BZ397" s="1">
        <v>45107</v>
      </c>
    </row>
    <row r="398" spans="1:78" ht="15" customHeight="1" x14ac:dyDescent="0.25">
      <c r="A398" t="s">
        <v>575</v>
      </c>
      <c r="B398" t="s">
        <v>94</v>
      </c>
      <c r="C398" s="1">
        <v>44827</v>
      </c>
      <c r="D398" s="1">
        <v>44869</v>
      </c>
      <c r="H398" t="s">
        <v>78</v>
      </c>
      <c r="I398" t="str">
        <f>"Jardinero"</f>
        <v>Jardinero</v>
      </c>
      <c r="J398" t="str">
        <f>"Maria Luisa"</f>
        <v>Maria Luisa</v>
      </c>
      <c r="K398" t="str">
        <f>"Rivera"</f>
        <v>Rivera</v>
      </c>
      <c r="L398" t="str">
        <f>"HR Officer"</f>
        <v>HR Officer</v>
      </c>
      <c r="M398" t="str">
        <f>"POI Building"</f>
        <v>POI Building</v>
      </c>
      <c r="N398" t="str">
        <f>"Northwest Loop, I Fadang"</f>
        <v>Northwest Loop, I Fadang</v>
      </c>
      <c r="O398" t="str">
        <f>"Saipan"</f>
        <v>Saipan</v>
      </c>
      <c r="P398" t="str">
        <f t="shared" si="242"/>
        <v>MP</v>
      </c>
      <c r="Q398" s="4" t="str">
        <f t="shared" si="239"/>
        <v>96950</v>
      </c>
      <c r="R398" t="str">
        <f t="shared" si="236"/>
        <v>UNITED STATES OF AMERICA</v>
      </c>
      <c r="S398" t="str">
        <f>""</f>
        <v/>
      </c>
      <c r="T398" s="5" t="str">
        <f>"16702880360"</f>
        <v>16702880360</v>
      </c>
      <c r="U398" t="str">
        <f>"104"</f>
        <v>104</v>
      </c>
      <c r="V398" s="5" t="str">
        <f>""</f>
        <v/>
      </c>
      <c r="W398" t="str">
        <f>"malou_jardinero@tanholdings.com"</f>
        <v>malou_jardinero@tanholdings.com</v>
      </c>
      <c r="X398" t="str">
        <f>"PACIFIC ORIENTAL INC."</f>
        <v>PACIFIC ORIENTAL INC.</v>
      </c>
      <c r="Y398" t="str">
        <f>"POI AVIATION"</f>
        <v>POI AVIATION</v>
      </c>
      <c r="Z398" t="str">
        <f>"POI Building"</f>
        <v>POI Building</v>
      </c>
      <c r="AA398" t="str">
        <f>"Northwest Loop, I Fadang"</f>
        <v>Northwest Loop, I Fadang</v>
      </c>
      <c r="AB398" t="str">
        <f>"Saipan"</f>
        <v>Saipan</v>
      </c>
      <c r="AC398" t="str">
        <f t="shared" si="237"/>
        <v>MP</v>
      </c>
      <c r="AD398" t="str">
        <f t="shared" si="240"/>
        <v>96950</v>
      </c>
      <c r="AE398" t="str">
        <f t="shared" si="238"/>
        <v>UNITED STATES OF AMERICA</v>
      </c>
      <c r="AF398" t="str">
        <f>""</f>
        <v/>
      </c>
      <c r="AG398" s="4" t="str">
        <f>"16702880360"</f>
        <v>16702880360</v>
      </c>
      <c r="AH398" t="str">
        <f>"104"</f>
        <v>104</v>
      </c>
      <c r="AI398" t="str">
        <f>"48819"</f>
        <v>48819</v>
      </c>
      <c r="AJ398" t="s">
        <v>79</v>
      </c>
      <c r="AK398" t="s">
        <v>79</v>
      </c>
      <c r="AL398" t="s">
        <v>80</v>
      </c>
      <c r="AM398" t="s">
        <v>79</v>
      </c>
      <c r="AP398" t="str">
        <f>"AIRCRAFT MAINTENANCE TECHNICIAN"</f>
        <v>AIRCRAFT MAINTENANCE TECHNICIAN</v>
      </c>
      <c r="AQ398" t="str">
        <f>"49-3011.00"</f>
        <v>49-3011.00</v>
      </c>
      <c r="AR398" t="str">
        <f>"Aircraft Mechanics and Service Technicians"</f>
        <v>Aircraft Mechanics and Service Technicians</v>
      </c>
      <c r="AS398" t="str">
        <f>"Aircraft Maintenance Supervisor"</f>
        <v>Aircraft Maintenance Supervisor</v>
      </c>
      <c r="AT398" t="s">
        <v>79</v>
      </c>
      <c r="AU398" t="str">
        <f>""</f>
        <v/>
      </c>
      <c r="AV398" t="str">
        <f>""</f>
        <v/>
      </c>
      <c r="AW398" t="s">
        <v>79</v>
      </c>
      <c r="AX398" t="str">
        <f>""</f>
        <v/>
      </c>
      <c r="AY398" t="s">
        <v>124</v>
      </c>
      <c r="BA398" t="s">
        <v>576</v>
      </c>
      <c r="BB398" t="s">
        <v>79</v>
      </c>
      <c r="BD398" t="s">
        <v>82</v>
      </c>
      <c r="BE398">
        <v>18</v>
      </c>
      <c r="BF398" t="s">
        <v>577</v>
      </c>
      <c r="BG398" t="s">
        <v>82</v>
      </c>
      <c r="BH398">
        <v>24</v>
      </c>
      <c r="BI398" t="s">
        <v>578</v>
      </c>
      <c r="BJ398" s="2" t="s">
        <v>579</v>
      </c>
      <c r="BK398" t="str">
        <f>"Saipan International Airport"</f>
        <v>Saipan International Airport</v>
      </c>
      <c r="BL398" t="str">
        <f>"I Fadang"</f>
        <v>I Fadang</v>
      </c>
      <c r="BM398" t="str">
        <f>"Saipan"</f>
        <v>Saipan</v>
      </c>
      <c r="BO398" t="s">
        <v>83</v>
      </c>
      <c r="BP398" s="4" t="str">
        <f t="shared" si="241"/>
        <v>96950</v>
      </c>
      <c r="BQ398" t="s">
        <v>79</v>
      </c>
      <c r="BR398" t="str">
        <f>"49-3011.00"</f>
        <v>49-3011.00</v>
      </c>
      <c r="BS398" t="s">
        <v>580</v>
      </c>
      <c r="BT398" s="3">
        <v>15.68</v>
      </c>
      <c r="BU398" t="s">
        <v>80</v>
      </c>
      <c r="BV398" t="s">
        <v>90</v>
      </c>
      <c r="BW398" t="s">
        <v>92</v>
      </c>
      <c r="BZ398" s="1">
        <v>45107</v>
      </c>
    </row>
    <row r="399" spans="1:78" ht="15" customHeight="1" x14ac:dyDescent="0.25">
      <c r="A399" t="s">
        <v>581</v>
      </c>
      <c r="B399" t="s">
        <v>94</v>
      </c>
      <c r="C399" s="1">
        <v>44827</v>
      </c>
      <c r="D399" s="1">
        <v>44869</v>
      </c>
      <c r="H399" t="s">
        <v>78</v>
      </c>
      <c r="I399" t="str">
        <f>"XU"</f>
        <v>XU</v>
      </c>
      <c r="J399" t="str">
        <f>"GUIHAN"</f>
        <v>GUIHAN</v>
      </c>
      <c r="K399" t="str">
        <f>""</f>
        <v/>
      </c>
      <c r="L399" t="str">
        <f>"SECRETARY "</f>
        <v xml:space="preserve">SECRETARY </v>
      </c>
      <c r="M399" t="str">
        <f>"Middle Rd, Tanapag"</f>
        <v>Middle Rd, Tanapag</v>
      </c>
      <c r="N399" t="str">
        <f>""</f>
        <v/>
      </c>
      <c r="O399" t="str">
        <f>"SAIPAN"</f>
        <v>SAIPAN</v>
      </c>
      <c r="P399" t="str">
        <f t="shared" si="242"/>
        <v>MP</v>
      </c>
      <c r="Q399" s="4" t="str">
        <f t="shared" si="239"/>
        <v>96950</v>
      </c>
      <c r="R399" t="str">
        <f t="shared" si="236"/>
        <v>UNITED STATES OF AMERICA</v>
      </c>
      <c r="S399" t="str">
        <f>""</f>
        <v/>
      </c>
      <c r="T399" s="5" t="str">
        <f>"16702851621"</f>
        <v>16702851621</v>
      </c>
      <c r="U399" t="str">
        <f>""</f>
        <v/>
      </c>
      <c r="V399" s="5" t="str">
        <f>""</f>
        <v/>
      </c>
      <c r="W399" t="str">
        <f>"lisusacopr@gmail.com"</f>
        <v>lisusacopr@gmail.com</v>
      </c>
      <c r="X399" t="str">
        <f>"li's usa corp "</f>
        <v xml:space="preserve">li's usa corp </v>
      </c>
      <c r="Y399" t="str">
        <f>"NEW I MART "</f>
        <v xml:space="preserve">NEW I MART </v>
      </c>
      <c r="Z399" t="str">
        <f>"Middle Rd, Tanapag"</f>
        <v>Middle Rd, Tanapag</v>
      </c>
      <c r="AA399" t="str">
        <f>"N/A"</f>
        <v>N/A</v>
      </c>
      <c r="AB399" t="str">
        <f>"SAIPAN"</f>
        <v>SAIPAN</v>
      </c>
      <c r="AC399" t="str">
        <f t="shared" si="237"/>
        <v>MP</v>
      </c>
      <c r="AD399" t="str">
        <f t="shared" si="240"/>
        <v>96950</v>
      </c>
      <c r="AE399" t="str">
        <f t="shared" si="238"/>
        <v>UNITED STATES OF AMERICA</v>
      </c>
      <c r="AF399" t="str">
        <f>""</f>
        <v/>
      </c>
      <c r="AG399" s="4" t="str">
        <f>"16702851621"</f>
        <v>16702851621</v>
      </c>
      <c r="AH399" t="str">
        <f>""</f>
        <v/>
      </c>
      <c r="AI399" t="str">
        <f>"4451"</f>
        <v>4451</v>
      </c>
      <c r="AJ399" t="s">
        <v>79</v>
      </c>
      <c r="AK399" t="s">
        <v>79</v>
      </c>
      <c r="AL399" t="s">
        <v>80</v>
      </c>
      <c r="AM399" t="s">
        <v>79</v>
      </c>
      <c r="AP399" t="str">
        <f>"STORE MAINTENANCE"</f>
        <v>STORE MAINTENANCE</v>
      </c>
      <c r="AQ399" t="str">
        <f>"49-9071.00"</f>
        <v>49-9071.00</v>
      </c>
      <c r="AR399" t="str">
        <f>"Maintenance and Repair Workers, General"</f>
        <v>Maintenance and Repair Workers, General</v>
      </c>
      <c r="AS399" t="str">
        <f>""</f>
        <v/>
      </c>
      <c r="AT399" t="s">
        <v>79</v>
      </c>
      <c r="AU399" t="str">
        <f>""</f>
        <v/>
      </c>
      <c r="AV399" t="str">
        <f>""</f>
        <v/>
      </c>
      <c r="AW399" t="s">
        <v>79</v>
      </c>
      <c r="AX399" t="str">
        <f>""</f>
        <v/>
      </c>
      <c r="AY399" t="s">
        <v>84</v>
      </c>
      <c r="BA399" t="s">
        <v>80</v>
      </c>
      <c r="BB399" t="s">
        <v>79</v>
      </c>
      <c r="BD399" t="s">
        <v>79</v>
      </c>
      <c r="BG399" t="s">
        <v>82</v>
      </c>
      <c r="BH399">
        <v>24</v>
      </c>
      <c r="BI399" t="s">
        <v>361</v>
      </c>
      <c r="BJ399" s="2" t="s">
        <v>582</v>
      </c>
      <c r="BK399" t="str">
        <f>"Middle Rd, Tanapag"</f>
        <v>Middle Rd, Tanapag</v>
      </c>
      <c r="BL399" t="str">
        <f>"N/A"</f>
        <v>N/A</v>
      </c>
      <c r="BM399" t="str">
        <f>"SAIPAN"</f>
        <v>SAIPAN</v>
      </c>
      <c r="BO399" t="s">
        <v>83</v>
      </c>
      <c r="BP399" s="4" t="str">
        <f t="shared" si="241"/>
        <v>96950</v>
      </c>
      <c r="BQ399" t="s">
        <v>79</v>
      </c>
      <c r="BR399" t="str">
        <f>"49-9071.00"</f>
        <v>49-9071.00</v>
      </c>
      <c r="BS399" t="s">
        <v>146</v>
      </c>
      <c r="BT399" s="3">
        <v>9.19</v>
      </c>
      <c r="BU399" t="s">
        <v>80</v>
      </c>
      <c r="BV399" t="s">
        <v>90</v>
      </c>
      <c r="BW399" t="s">
        <v>92</v>
      </c>
      <c r="BZ399" s="1">
        <v>45107</v>
      </c>
    </row>
    <row r="400" spans="1:78" ht="15" customHeight="1" x14ac:dyDescent="0.25">
      <c r="A400" t="s">
        <v>583</v>
      </c>
      <c r="B400" t="s">
        <v>94</v>
      </c>
      <c r="C400" s="1">
        <v>44827</v>
      </c>
      <c r="D400" s="1">
        <v>44869</v>
      </c>
      <c r="H400" t="s">
        <v>78</v>
      </c>
      <c r="I400" t="str">
        <f>"LU"</f>
        <v>LU</v>
      </c>
      <c r="J400" t="str">
        <f>"XUANBO"</f>
        <v>XUANBO</v>
      </c>
      <c r="K400" t="str">
        <f>""</f>
        <v/>
      </c>
      <c r="L400" t="str">
        <f>"SECRETARY"</f>
        <v>SECRETARY</v>
      </c>
      <c r="M400" t="str">
        <f>"GARAPAN"</f>
        <v>GARAPAN</v>
      </c>
      <c r="N400" t="str">
        <f>"N/A"</f>
        <v>N/A</v>
      </c>
      <c r="O400" t="str">
        <f>"SAIPAN"</f>
        <v>SAIPAN</v>
      </c>
      <c r="P400" t="str">
        <f t="shared" si="242"/>
        <v>MP</v>
      </c>
      <c r="Q400" s="4" t="str">
        <f t="shared" si="239"/>
        <v>96950</v>
      </c>
      <c r="R400" t="str">
        <f t="shared" si="236"/>
        <v>UNITED STATES OF AMERICA</v>
      </c>
      <c r="S400" t="str">
        <f>""</f>
        <v/>
      </c>
      <c r="T400" s="5" t="str">
        <f>"16709895998"</f>
        <v>16709895998</v>
      </c>
      <c r="U400" t="str">
        <f>""</f>
        <v/>
      </c>
      <c r="V400" s="5" t="str">
        <f>""</f>
        <v/>
      </c>
      <c r="W400" t="str">
        <f>"JUNYICORP@GMAIL.COM"</f>
        <v>JUNYICORP@GMAIL.COM</v>
      </c>
      <c r="X400" t="str">
        <f>"American yongcheng corp. "</f>
        <v xml:space="preserve">American yongcheng corp. </v>
      </c>
      <c r="Y400" t="str">
        <f>"NEW CHANGMING MARKET "</f>
        <v xml:space="preserve">NEW CHANGMING MARKET </v>
      </c>
      <c r="Z400" t="str">
        <f>"GARAPAN "</f>
        <v xml:space="preserve">GARAPAN </v>
      </c>
      <c r="AA400" t="str">
        <f>"N/A"</f>
        <v>N/A</v>
      </c>
      <c r="AB400" t="str">
        <f>"SAIPAN"</f>
        <v>SAIPAN</v>
      </c>
      <c r="AC400" t="str">
        <f t="shared" si="237"/>
        <v>MP</v>
      </c>
      <c r="AD400" t="str">
        <f t="shared" si="240"/>
        <v>96950</v>
      </c>
      <c r="AE400" t="str">
        <f t="shared" si="238"/>
        <v>UNITED STATES OF AMERICA</v>
      </c>
      <c r="AF400" t="str">
        <f>""</f>
        <v/>
      </c>
      <c r="AG400" s="4" t="str">
        <f>"16709895998"</f>
        <v>16709895998</v>
      </c>
      <c r="AH400" t="str">
        <f>""</f>
        <v/>
      </c>
      <c r="AI400" t="str">
        <f>"445110"</f>
        <v>445110</v>
      </c>
      <c r="AJ400" t="s">
        <v>79</v>
      </c>
      <c r="AK400" t="s">
        <v>79</v>
      </c>
      <c r="AL400" t="s">
        <v>80</v>
      </c>
      <c r="AM400" t="s">
        <v>79</v>
      </c>
      <c r="AP400" t="str">
        <f>"STORE MAINTENANCE"</f>
        <v>STORE MAINTENANCE</v>
      </c>
      <c r="AQ400" t="str">
        <f>"49-9071.00"</f>
        <v>49-9071.00</v>
      </c>
      <c r="AR400" t="str">
        <f>"Maintenance and Repair Workers, General"</f>
        <v>Maintenance and Repair Workers, General</v>
      </c>
      <c r="AS400" t="str">
        <f>""</f>
        <v/>
      </c>
      <c r="AT400" t="s">
        <v>79</v>
      </c>
      <c r="AU400" t="str">
        <f>""</f>
        <v/>
      </c>
      <c r="AV400" t="str">
        <f>""</f>
        <v/>
      </c>
      <c r="AW400" t="s">
        <v>79</v>
      </c>
      <c r="AX400" t="str">
        <f>""</f>
        <v/>
      </c>
      <c r="AY400" t="s">
        <v>81</v>
      </c>
      <c r="BA400" t="s">
        <v>80</v>
      </c>
      <c r="BB400" t="s">
        <v>79</v>
      </c>
      <c r="BD400" t="s">
        <v>79</v>
      </c>
      <c r="BG400" t="s">
        <v>82</v>
      </c>
      <c r="BH400">
        <v>24</v>
      </c>
      <c r="BI400" t="s">
        <v>584</v>
      </c>
      <c r="BJ400" s="2" t="s">
        <v>585</v>
      </c>
      <c r="BK400" t="str">
        <f>"GARAPAN"</f>
        <v>GARAPAN</v>
      </c>
      <c r="BL400" t="str">
        <f>""</f>
        <v/>
      </c>
      <c r="BM400" t="str">
        <f>"SAIPAN"</f>
        <v>SAIPAN</v>
      </c>
      <c r="BO400" t="s">
        <v>83</v>
      </c>
      <c r="BP400" s="4" t="str">
        <f t="shared" si="241"/>
        <v>96950</v>
      </c>
      <c r="BQ400" t="s">
        <v>79</v>
      </c>
      <c r="BR400" t="str">
        <f>"49-9071.00"</f>
        <v>49-9071.00</v>
      </c>
      <c r="BS400" t="s">
        <v>146</v>
      </c>
      <c r="BT400" s="3">
        <v>9.19</v>
      </c>
      <c r="BU400" t="s">
        <v>80</v>
      </c>
      <c r="BV400" t="s">
        <v>90</v>
      </c>
      <c r="BW400" t="s">
        <v>92</v>
      </c>
      <c r="BZ400" s="1">
        <v>45107</v>
      </c>
    </row>
    <row r="401" spans="1:78" ht="15" customHeight="1" x14ac:dyDescent="0.25">
      <c r="A401" t="s">
        <v>586</v>
      </c>
      <c r="B401" t="s">
        <v>94</v>
      </c>
      <c r="C401" s="1">
        <v>44827</v>
      </c>
      <c r="D401" s="1">
        <v>44869</v>
      </c>
      <c r="H401" t="s">
        <v>78</v>
      </c>
      <c r="I401" t="str">
        <f>"SIU"</f>
        <v>SIU</v>
      </c>
      <c r="J401" t="str">
        <f>"KAYEE DANNY"</f>
        <v>KAYEE DANNY</v>
      </c>
      <c r="K401" t="str">
        <f>""</f>
        <v/>
      </c>
      <c r="L401" t="str">
        <f>"SECRETARY"</f>
        <v>SECRETARY</v>
      </c>
      <c r="M401" t="str">
        <f>"DATE.ST IN GARAPAN "</f>
        <v xml:space="preserve">DATE.ST IN GARAPAN </v>
      </c>
      <c r="N401" t="str">
        <f>"N/A"</f>
        <v>N/A</v>
      </c>
      <c r="O401" t="str">
        <f>"SAIPAN"</f>
        <v>SAIPAN</v>
      </c>
      <c r="P401" t="str">
        <f t="shared" si="242"/>
        <v>MP</v>
      </c>
      <c r="Q401" s="4" t="str">
        <f t="shared" si="239"/>
        <v>96950</v>
      </c>
      <c r="R401" t="str">
        <f t="shared" si="236"/>
        <v>UNITED STATES OF AMERICA</v>
      </c>
      <c r="S401" t="str">
        <f>""</f>
        <v/>
      </c>
      <c r="T401" s="5" t="str">
        <f>"16709899368"</f>
        <v>16709899368</v>
      </c>
      <c r="U401" t="str">
        <f>""</f>
        <v/>
      </c>
      <c r="V401" s="5" t="str">
        <f>""</f>
        <v/>
      </c>
      <c r="W401" t="str">
        <f>"yonglongcorp@gmail.com"</f>
        <v>yonglongcorp@gmail.com</v>
      </c>
      <c r="X401" t="str">
        <f>"YONGLONG CORP."</f>
        <v>YONGLONG CORP.</v>
      </c>
      <c r="Y401" t="str">
        <f>"RESTAURANT"</f>
        <v>RESTAURANT</v>
      </c>
      <c r="Z401" t="str">
        <f>"DATE.ST IN GARAPAN "</f>
        <v xml:space="preserve">DATE.ST IN GARAPAN </v>
      </c>
      <c r="AA401" t="str">
        <f>"N/A"</f>
        <v>N/A</v>
      </c>
      <c r="AB401" t="str">
        <f>"SAIPAN"</f>
        <v>SAIPAN</v>
      </c>
      <c r="AC401" t="str">
        <f t="shared" si="237"/>
        <v>MP</v>
      </c>
      <c r="AD401" t="str">
        <f t="shared" si="240"/>
        <v>96950</v>
      </c>
      <c r="AE401" t="str">
        <f t="shared" si="238"/>
        <v>UNITED STATES OF AMERICA</v>
      </c>
      <c r="AF401" t="str">
        <f>""</f>
        <v/>
      </c>
      <c r="AG401" s="4" t="str">
        <f>"16709899368"</f>
        <v>16709899368</v>
      </c>
      <c r="AH401" t="str">
        <f>""</f>
        <v/>
      </c>
      <c r="AI401" t="str">
        <f>"722511"</f>
        <v>722511</v>
      </c>
      <c r="AJ401" t="s">
        <v>79</v>
      </c>
      <c r="AK401" t="s">
        <v>79</v>
      </c>
      <c r="AL401" t="s">
        <v>80</v>
      </c>
      <c r="AM401" t="s">
        <v>79</v>
      </c>
      <c r="AP401" t="str">
        <f>"COOKS RESTAURANT"</f>
        <v>COOKS RESTAURANT</v>
      </c>
      <c r="AQ401" t="str">
        <f>"35-2014.00"</f>
        <v>35-2014.00</v>
      </c>
      <c r="AR401" t="str">
        <f>"Cooks, Restaurant"</f>
        <v>Cooks, Restaurant</v>
      </c>
      <c r="AS401" t="str">
        <f>""</f>
        <v/>
      </c>
      <c r="AT401" t="s">
        <v>79</v>
      </c>
      <c r="AU401" t="str">
        <f>""</f>
        <v/>
      </c>
      <c r="AV401" t="str">
        <f>""</f>
        <v/>
      </c>
      <c r="AW401" t="s">
        <v>79</v>
      </c>
      <c r="AX401" t="str">
        <f>""</f>
        <v/>
      </c>
      <c r="AY401" t="s">
        <v>81</v>
      </c>
      <c r="BA401" t="s">
        <v>80</v>
      </c>
      <c r="BB401" t="s">
        <v>79</v>
      </c>
      <c r="BD401" t="s">
        <v>79</v>
      </c>
      <c r="BG401" t="s">
        <v>79</v>
      </c>
      <c r="BJ401" t="s">
        <v>587</v>
      </c>
      <c r="BK401" t="str">
        <f>"DATE.ST IN GARAPAN"</f>
        <v>DATE.ST IN GARAPAN</v>
      </c>
      <c r="BL401" t="str">
        <f>"N/A"</f>
        <v>N/A</v>
      </c>
      <c r="BM401" t="str">
        <f>"SAIPAN"</f>
        <v>SAIPAN</v>
      </c>
      <c r="BO401" t="s">
        <v>83</v>
      </c>
      <c r="BP401" s="4" t="str">
        <f t="shared" si="241"/>
        <v>96950</v>
      </c>
      <c r="BQ401" t="s">
        <v>79</v>
      </c>
      <c r="BR401" t="str">
        <f>"35-2014.00"</f>
        <v>35-2014.00</v>
      </c>
      <c r="BS401" t="s">
        <v>117</v>
      </c>
      <c r="BT401" s="3">
        <v>8.5500000000000007</v>
      </c>
      <c r="BU401" t="s">
        <v>80</v>
      </c>
      <c r="BV401" t="s">
        <v>90</v>
      </c>
      <c r="BW401" t="s">
        <v>92</v>
      </c>
      <c r="BZ401" s="1">
        <v>45107</v>
      </c>
    </row>
    <row r="402" spans="1:78" ht="15" customHeight="1" x14ac:dyDescent="0.25">
      <c r="A402" t="s">
        <v>390</v>
      </c>
      <c r="B402" t="s">
        <v>94</v>
      </c>
      <c r="C402" s="1">
        <v>44816</v>
      </c>
      <c r="D402" s="1">
        <v>44869</v>
      </c>
      <c r="H402" t="s">
        <v>78</v>
      </c>
      <c r="I402" t="str">
        <f>"LEE"</f>
        <v>LEE</v>
      </c>
      <c r="J402" t="str">
        <f>"DONG KYU"</f>
        <v>DONG KYU</v>
      </c>
      <c r="K402" t="str">
        <f>"NA"</f>
        <v>NA</v>
      </c>
      <c r="L402" t="str">
        <f>"Registered Agent"</f>
        <v>Registered Agent</v>
      </c>
      <c r="M402" t="str">
        <f>"PMB 266 PO Box 1000"</f>
        <v>PMB 266 PO Box 1000</v>
      </c>
      <c r="N402" t="str">
        <f>""</f>
        <v/>
      </c>
      <c r="O402" t="str">
        <f>"Saipan"</f>
        <v>Saipan</v>
      </c>
      <c r="P402" t="str">
        <f t="shared" si="242"/>
        <v>MP</v>
      </c>
      <c r="Q402" s="4" t="str">
        <f t="shared" si="239"/>
        <v>96950</v>
      </c>
      <c r="R402" t="str">
        <f t="shared" si="236"/>
        <v>UNITED STATES OF AMERICA</v>
      </c>
      <c r="S402" t="str">
        <f>""</f>
        <v/>
      </c>
      <c r="T402" s="5" t="str">
        <f>"16704833702"</f>
        <v>16704833702</v>
      </c>
      <c r="U402" t="str">
        <f>""</f>
        <v/>
      </c>
      <c r="V402" s="5" t="str">
        <f>""</f>
        <v/>
      </c>
      <c r="W402" t="str">
        <f>"jangseongcorp.spn@gmail.com"</f>
        <v>jangseongcorp.spn@gmail.com</v>
      </c>
      <c r="X402" t="str">
        <f>"JANGSEONG CORPORATION"</f>
        <v>JANGSEONG CORPORATION</v>
      </c>
      <c r="Y402" t="str">
        <f>"TAGA NONI FARM"</f>
        <v>TAGA NONI FARM</v>
      </c>
      <c r="Z402" t="str">
        <f>"PMB 256 BOX 10000"</f>
        <v>PMB 256 BOX 10000</v>
      </c>
      <c r="AA402" t="str">
        <f>""</f>
        <v/>
      </c>
      <c r="AB402" t="str">
        <f>"SAIPAN"</f>
        <v>SAIPAN</v>
      </c>
      <c r="AC402" t="str">
        <f t="shared" si="237"/>
        <v>MP</v>
      </c>
      <c r="AD402" t="str">
        <f t="shared" si="240"/>
        <v>96950</v>
      </c>
      <c r="AE402" t="str">
        <f t="shared" si="238"/>
        <v>UNITED STATES OF AMERICA</v>
      </c>
      <c r="AF402" t="str">
        <f>""</f>
        <v/>
      </c>
      <c r="AG402" s="4" t="str">
        <f>"16704833702"</f>
        <v>16704833702</v>
      </c>
      <c r="AH402" t="str">
        <f>""</f>
        <v/>
      </c>
      <c r="AI402" t="str">
        <f>"11141"</f>
        <v>11141</v>
      </c>
      <c r="AJ402" t="s">
        <v>79</v>
      </c>
      <c r="AK402" t="s">
        <v>79</v>
      </c>
      <c r="AL402" t="s">
        <v>80</v>
      </c>
      <c r="AM402" t="s">
        <v>79</v>
      </c>
      <c r="AP402" t="str">
        <f>"Farm Manager"</f>
        <v>Farm Manager</v>
      </c>
      <c r="AQ402" t="str">
        <f>"11-1021.00"</f>
        <v>11-1021.00</v>
      </c>
      <c r="AR402" t="str">
        <f>"General and Operations Managers"</f>
        <v>General and Operations Managers</v>
      </c>
      <c r="AS402" t="str">
        <f>"NA"</f>
        <v>NA</v>
      </c>
      <c r="AT402" t="s">
        <v>82</v>
      </c>
      <c r="AU402" t="str">
        <f>"3"</f>
        <v>3</v>
      </c>
      <c r="AV402" t="str">
        <f>"Subordinate"</f>
        <v>Subordinate</v>
      </c>
      <c r="AW402" t="s">
        <v>79</v>
      </c>
      <c r="AX402" t="str">
        <f>""</f>
        <v/>
      </c>
      <c r="AY402" t="s">
        <v>124</v>
      </c>
      <c r="BA402" t="s">
        <v>391</v>
      </c>
      <c r="BB402" t="s">
        <v>79</v>
      </c>
      <c r="BD402" t="s">
        <v>79</v>
      </c>
      <c r="BG402" t="s">
        <v>82</v>
      </c>
      <c r="BH402">
        <v>12</v>
      </c>
      <c r="BI402" t="s">
        <v>392</v>
      </c>
      <c r="BJ402" t="s">
        <v>393</v>
      </c>
      <c r="BK402" t="str">
        <f>"Chalan Lau Lau"</f>
        <v>Chalan Lau Lau</v>
      </c>
      <c r="BL402" t="str">
        <f>""</f>
        <v/>
      </c>
      <c r="BM402" t="str">
        <f>"Saipan"</f>
        <v>Saipan</v>
      </c>
      <c r="BO402" t="s">
        <v>83</v>
      </c>
      <c r="BP402" s="4" t="str">
        <f t="shared" si="241"/>
        <v>96950</v>
      </c>
      <c r="BQ402" t="s">
        <v>79</v>
      </c>
      <c r="BR402" t="str">
        <f>"11-9013.00"</f>
        <v>11-9013.00</v>
      </c>
      <c r="BS402" t="s">
        <v>394</v>
      </c>
      <c r="BT402" s="3">
        <v>23.52</v>
      </c>
      <c r="BU402" t="s">
        <v>80</v>
      </c>
      <c r="BV402" t="s">
        <v>90</v>
      </c>
      <c r="BW402" t="s">
        <v>92</v>
      </c>
      <c r="BZ402" s="1">
        <v>45107</v>
      </c>
    </row>
    <row r="403" spans="1:78" ht="15" customHeight="1" x14ac:dyDescent="0.25">
      <c r="A403" t="s">
        <v>363</v>
      </c>
      <c r="B403" t="s">
        <v>94</v>
      </c>
      <c r="C403" s="1">
        <v>44814</v>
      </c>
      <c r="D403" s="1">
        <v>44869</v>
      </c>
      <c r="H403" t="s">
        <v>78</v>
      </c>
      <c r="I403" t="str">
        <f>"ALVARADO "</f>
        <v xml:space="preserve">ALVARADO </v>
      </c>
      <c r="J403" t="str">
        <f>"ALFADEL "</f>
        <v xml:space="preserve">ALFADEL </v>
      </c>
      <c r="K403" t="str">
        <f>"ZULUETA "</f>
        <v xml:space="preserve">ZULUETA </v>
      </c>
      <c r="L403" t="str">
        <f>"VICE-PRESIDENT"</f>
        <v>VICE-PRESIDENT</v>
      </c>
      <c r="M403" t="str">
        <f>"P.O BOX 5054 CHRB "</f>
        <v xml:space="preserve">P.O BOX 5054 CHRB </v>
      </c>
      <c r="N403" t="str">
        <f>"MONSIGNOR GUERRERO ROAD CHALAN KIYA "</f>
        <v xml:space="preserve">MONSIGNOR GUERRERO ROAD CHALAN KIYA </v>
      </c>
      <c r="O403" t="str">
        <f>"SAIPAN "</f>
        <v xml:space="preserve">SAIPAN </v>
      </c>
      <c r="P403" t="str">
        <f t="shared" si="242"/>
        <v>MP</v>
      </c>
      <c r="Q403" s="4" t="str">
        <f t="shared" si="239"/>
        <v>96950</v>
      </c>
      <c r="R403" t="str">
        <f t="shared" si="236"/>
        <v>UNITED STATES OF AMERICA</v>
      </c>
      <c r="S403" t="str">
        <f>""</f>
        <v/>
      </c>
      <c r="T403" s="5" t="str">
        <f>"16702343807"</f>
        <v>16702343807</v>
      </c>
      <c r="U403" t="str">
        <f>""</f>
        <v/>
      </c>
      <c r="V403" s="5" t="str">
        <f>""</f>
        <v/>
      </c>
      <c r="W403" t="str">
        <f>"winzycorporation@gmail.com"</f>
        <v>winzycorporation@gmail.com</v>
      </c>
      <c r="X403" t="str">
        <f>"WINZY CORPORATION"</f>
        <v>WINZY CORPORATION</v>
      </c>
      <c r="Y403" t="str">
        <f>""</f>
        <v/>
      </c>
      <c r="Z403" t="str">
        <f>"P.O BOX 5054 CHRB "</f>
        <v xml:space="preserve">P.O BOX 5054 CHRB </v>
      </c>
      <c r="AA403" t="str">
        <f>"MONSIGNOR GUERRERO ROAD CHALAN KIYA "</f>
        <v xml:space="preserve">MONSIGNOR GUERRERO ROAD CHALAN KIYA </v>
      </c>
      <c r="AB403" t="str">
        <f>"SAIPAN "</f>
        <v xml:space="preserve">SAIPAN </v>
      </c>
      <c r="AC403" t="str">
        <f t="shared" si="237"/>
        <v>MP</v>
      </c>
      <c r="AD403" t="str">
        <f t="shared" si="240"/>
        <v>96950</v>
      </c>
      <c r="AE403" t="str">
        <f t="shared" si="238"/>
        <v>UNITED STATES OF AMERICA</v>
      </c>
      <c r="AF403" t="str">
        <f>""</f>
        <v/>
      </c>
      <c r="AG403" s="4" t="str">
        <f>"16702343870"</f>
        <v>16702343870</v>
      </c>
      <c r="AH403" t="str">
        <f>""</f>
        <v/>
      </c>
      <c r="AI403" t="str">
        <f>"56172"</f>
        <v>56172</v>
      </c>
      <c r="AJ403" t="s">
        <v>79</v>
      </c>
      <c r="AK403" t="s">
        <v>79</v>
      </c>
      <c r="AL403" t="s">
        <v>80</v>
      </c>
      <c r="AM403" t="s">
        <v>79</v>
      </c>
      <c r="AP403" t="str">
        <f>"COMMERCIAL CLEANER "</f>
        <v xml:space="preserve">COMMERCIAL CLEANER </v>
      </c>
      <c r="AQ403" t="str">
        <f>"37-2011.00"</f>
        <v>37-2011.00</v>
      </c>
      <c r="AR403" t="str">
        <f>"Janitors and Cleaners, Except Maids and Housekeeping Cleaners"</f>
        <v>Janitors and Cleaners, Except Maids and Housekeeping Cleaners</v>
      </c>
      <c r="AS403" t="str">
        <f>"GENERAL MANAGER"</f>
        <v>GENERAL MANAGER</v>
      </c>
      <c r="AT403" t="s">
        <v>79</v>
      </c>
      <c r="AU403" t="str">
        <f>""</f>
        <v/>
      </c>
      <c r="AV403" t="str">
        <f>""</f>
        <v/>
      </c>
      <c r="AW403" t="s">
        <v>79</v>
      </c>
      <c r="AX403" t="str">
        <f>""</f>
        <v/>
      </c>
      <c r="AY403" t="s">
        <v>84</v>
      </c>
      <c r="BA403" t="s">
        <v>80</v>
      </c>
      <c r="BB403" t="s">
        <v>79</v>
      </c>
      <c r="BD403" t="s">
        <v>79</v>
      </c>
      <c r="BG403" t="s">
        <v>82</v>
      </c>
      <c r="BH403">
        <v>6</v>
      </c>
      <c r="BI403" t="s">
        <v>364</v>
      </c>
      <c r="BJ403" s="2" t="s">
        <v>365</v>
      </c>
      <c r="BK403" t="str">
        <f>"P.O BOX 5054 CHRB "</f>
        <v xml:space="preserve">P.O BOX 5054 CHRB </v>
      </c>
      <c r="BL403" t="str">
        <f>"MONSIGNOR GUERRERO ROAD CHALAN KIYA "</f>
        <v xml:space="preserve">MONSIGNOR GUERRERO ROAD CHALAN KIYA </v>
      </c>
      <c r="BM403" t="str">
        <f>"SAIPAN "</f>
        <v xml:space="preserve">SAIPAN </v>
      </c>
      <c r="BO403" t="s">
        <v>83</v>
      </c>
      <c r="BP403" s="4" t="str">
        <f t="shared" si="241"/>
        <v>96950</v>
      </c>
      <c r="BQ403" t="s">
        <v>79</v>
      </c>
      <c r="BR403" t="str">
        <f>"37-2011.00"</f>
        <v>37-2011.00</v>
      </c>
      <c r="BS403" t="s">
        <v>313</v>
      </c>
      <c r="BT403" s="3">
        <v>7.99</v>
      </c>
      <c r="BU403" t="s">
        <v>80</v>
      </c>
      <c r="BV403" t="s">
        <v>90</v>
      </c>
      <c r="BW403" t="s">
        <v>92</v>
      </c>
      <c r="BZ403" s="1">
        <v>45107</v>
      </c>
    </row>
    <row r="404" spans="1:78" ht="15" customHeight="1" x14ac:dyDescent="0.25">
      <c r="A404" t="s">
        <v>465</v>
      </c>
      <c r="B404" t="s">
        <v>94</v>
      </c>
      <c r="C404" s="1">
        <v>44820</v>
      </c>
      <c r="D404" s="1">
        <v>44868</v>
      </c>
      <c r="H404" t="s">
        <v>78</v>
      </c>
      <c r="I404" t="str">
        <f>"MENDIOLA-LONG"</f>
        <v>MENDIOLA-LONG</v>
      </c>
      <c r="J404" t="str">
        <f>"PHILLIP"</f>
        <v>PHILLIP</v>
      </c>
      <c r="K404" t="str">
        <f>"THOMAS"</f>
        <v>THOMAS</v>
      </c>
      <c r="L404" t="str">
        <f>"CHIEF EXECUTIVE OFFICER"</f>
        <v>CHIEF EXECUTIVE OFFICER</v>
      </c>
      <c r="M404" t="str">
        <f>"SAN JOSE VILLAGE"</f>
        <v>SAN JOSE VILLAGE</v>
      </c>
      <c r="N404" t="str">
        <f>"PO BOX 520800"</f>
        <v>PO BOX 520800</v>
      </c>
      <c r="O404" t="str">
        <f>"TINIAN"</f>
        <v>TINIAN</v>
      </c>
      <c r="P404" t="str">
        <f t="shared" si="242"/>
        <v>MP</v>
      </c>
      <c r="Q404" s="4" t="str">
        <f>"96952"</f>
        <v>96952</v>
      </c>
      <c r="R404" t="str">
        <f t="shared" si="236"/>
        <v>UNITED STATES OF AMERICA</v>
      </c>
      <c r="S404" t="str">
        <f>"N/A"</f>
        <v>N/A</v>
      </c>
      <c r="T404" s="5" t="str">
        <f>"16709894711"</f>
        <v>16709894711</v>
      </c>
      <c r="U404" t="str">
        <f>""</f>
        <v/>
      </c>
      <c r="V404" s="5" t="str">
        <f>""</f>
        <v/>
      </c>
      <c r="W404" t="str">
        <f>"jobs@tinianservice.com"</f>
        <v>jobs@tinianservice.com</v>
      </c>
      <c r="X404" t="str">
        <f>"TINIAN FUEL SERVICES, INC."</f>
        <v>TINIAN FUEL SERVICES, INC.</v>
      </c>
      <c r="Y404" t="str">
        <f>"TINIAN LANDSCAPING AND CUSTODIAL SERVICES; TLC GENERAL CONTRACTOR"</f>
        <v>TINIAN LANDSCAPING AND CUSTODIAL SERVICES; TLC GENERAL CONTRACTOR</v>
      </c>
      <c r="Z404" t="str">
        <f>"SAN JOSE VILLAGE"</f>
        <v>SAN JOSE VILLAGE</v>
      </c>
      <c r="AA404" t="str">
        <f>"PO BOX 520800"</f>
        <v>PO BOX 520800</v>
      </c>
      <c r="AB404" t="str">
        <f>"TINIAN"</f>
        <v>TINIAN</v>
      </c>
      <c r="AC404" t="str">
        <f t="shared" si="237"/>
        <v>MP</v>
      </c>
      <c r="AD404" t="str">
        <f>"96952"</f>
        <v>96952</v>
      </c>
      <c r="AE404" t="str">
        <f t="shared" si="238"/>
        <v>UNITED STATES OF AMERICA</v>
      </c>
      <c r="AF404" t="str">
        <f>"N/A"</f>
        <v>N/A</v>
      </c>
      <c r="AG404" s="4" t="str">
        <f>"16704334428"</f>
        <v>16704334428</v>
      </c>
      <c r="AH404" t="str">
        <f>""</f>
        <v/>
      </c>
      <c r="AI404" t="str">
        <f>"561720"</f>
        <v>561720</v>
      </c>
      <c r="AJ404" t="s">
        <v>79</v>
      </c>
      <c r="AK404" t="s">
        <v>79</v>
      </c>
      <c r="AL404" t="s">
        <v>80</v>
      </c>
      <c r="AM404" t="s">
        <v>79</v>
      </c>
      <c r="AP404" t="str">
        <f>"HOUSEKEEPER"</f>
        <v>HOUSEKEEPER</v>
      </c>
      <c r="AQ404" t="str">
        <f>"37-2012.00"</f>
        <v>37-2012.00</v>
      </c>
      <c r="AR404" t="str">
        <f>"Maids and Housekeeping Cleaners"</f>
        <v>Maids and Housekeeping Cleaners</v>
      </c>
      <c r="AS404" t="str">
        <f>"N/A"</f>
        <v>N/A</v>
      </c>
      <c r="AT404" t="s">
        <v>79</v>
      </c>
      <c r="AU404" t="str">
        <f>""</f>
        <v/>
      </c>
      <c r="AV404" t="str">
        <f>""</f>
        <v/>
      </c>
      <c r="AW404" t="s">
        <v>79</v>
      </c>
      <c r="AX404" t="str">
        <f>""</f>
        <v/>
      </c>
      <c r="AY404" t="s">
        <v>84</v>
      </c>
      <c r="BA404" t="s">
        <v>80</v>
      </c>
      <c r="BB404" t="s">
        <v>79</v>
      </c>
      <c r="BD404" t="s">
        <v>79</v>
      </c>
      <c r="BG404" t="s">
        <v>82</v>
      </c>
      <c r="BH404">
        <v>3</v>
      </c>
      <c r="BI404" t="s">
        <v>461</v>
      </c>
      <c r="BJ404" t="s">
        <v>466</v>
      </c>
      <c r="BK404" t="str">
        <f>"SAN JOSE VILLAGE"</f>
        <v>SAN JOSE VILLAGE</v>
      </c>
      <c r="BL404" t="str">
        <f>"PO BOX 520800"</f>
        <v>PO BOX 520800</v>
      </c>
      <c r="BM404" t="str">
        <f>"TINIAN"</f>
        <v>TINIAN</v>
      </c>
      <c r="BO404" t="s">
        <v>83</v>
      </c>
      <c r="BP404" s="4" t="str">
        <f>"96952"</f>
        <v>96952</v>
      </c>
      <c r="BQ404" t="s">
        <v>79</v>
      </c>
      <c r="BR404" t="str">
        <f>"37-2012.00"</f>
        <v>37-2012.00</v>
      </c>
      <c r="BS404" t="s">
        <v>109</v>
      </c>
      <c r="BT404" s="3">
        <v>7.56</v>
      </c>
      <c r="BU404" t="s">
        <v>80</v>
      </c>
      <c r="BV404" t="s">
        <v>90</v>
      </c>
      <c r="BW404" t="s">
        <v>92</v>
      </c>
      <c r="BZ404" s="1">
        <v>45107</v>
      </c>
    </row>
    <row r="405" spans="1:78" ht="15" customHeight="1" x14ac:dyDescent="0.25">
      <c r="A405" t="s">
        <v>559</v>
      </c>
      <c r="B405" t="s">
        <v>94</v>
      </c>
      <c r="C405" s="1">
        <v>44826</v>
      </c>
      <c r="D405" s="1">
        <v>44867</v>
      </c>
      <c r="H405" t="s">
        <v>78</v>
      </c>
      <c r="I405" t="str">
        <f>"FERNANDEZ"</f>
        <v>FERNANDEZ</v>
      </c>
      <c r="J405" t="str">
        <f>"TERESITA"</f>
        <v>TERESITA</v>
      </c>
      <c r="K405" t="str">
        <f>"MANARANG"</f>
        <v>MANARANG</v>
      </c>
      <c r="L405" t="str">
        <f>"VICE PRESIDENT"</f>
        <v>VICE PRESIDENT</v>
      </c>
      <c r="M405" t="str">
        <f>"P.O. BOX 502706, AS PERDIDO ROAD"</f>
        <v>P.O. BOX 502706, AS PERDIDO ROAD</v>
      </c>
      <c r="N405" t="str">
        <f>"CHALAN PIAO"</f>
        <v>CHALAN PIAO</v>
      </c>
      <c r="O405" t="str">
        <f t="shared" ref="O405:O410" si="243">"SAIPAN"</f>
        <v>SAIPAN</v>
      </c>
      <c r="P405" t="str">
        <f t="shared" si="242"/>
        <v>MP</v>
      </c>
      <c r="Q405" s="4" t="str">
        <f t="shared" ref="Q405:Q412" si="244">"96950"</f>
        <v>96950</v>
      </c>
      <c r="R405" t="str">
        <f t="shared" si="236"/>
        <v>UNITED STATES OF AMERICA</v>
      </c>
      <c r="S405" t="str">
        <f>"MP"</f>
        <v>MP</v>
      </c>
      <c r="T405" s="5" t="str">
        <f>"16702351024"</f>
        <v>16702351024</v>
      </c>
      <c r="U405" t="str">
        <f>""</f>
        <v/>
      </c>
      <c r="V405" s="5" t="str">
        <f>""</f>
        <v/>
      </c>
      <c r="W405" t="str">
        <f>"tfcgeneralconstruction@yahoo.com"</f>
        <v>tfcgeneralconstruction@yahoo.com</v>
      </c>
      <c r="X405" t="str">
        <f>"TFC CORPORATION"</f>
        <v>TFC CORPORATION</v>
      </c>
      <c r="Y405" t="str">
        <f>"TFC GENERAL CONSTRUCTION"</f>
        <v>TFC GENERAL CONSTRUCTION</v>
      </c>
      <c r="Z405" t="str">
        <f>"P.O. BOX 502706, AS PERDIDO ROAD"</f>
        <v>P.O. BOX 502706, AS PERDIDO ROAD</v>
      </c>
      <c r="AA405" t="str">
        <f>"CHALAN PIAO"</f>
        <v>CHALAN PIAO</v>
      </c>
      <c r="AB405" t="str">
        <f t="shared" ref="AB405:AB410" si="245">"SAIPAN"</f>
        <v>SAIPAN</v>
      </c>
      <c r="AC405" t="str">
        <f t="shared" si="237"/>
        <v>MP</v>
      </c>
      <c r="AD405" t="str">
        <f t="shared" ref="AD405:AD412" si="246">"96950"</f>
        <v>96950</v>
      </c>
      <c r="AE405" t="str">
        <f t="shared" si="238"/>
        <v>UNITED STATES OF AMERICA</v>
      </c>
      <c r="AF405" t="str">
        <f>"MP"</f>
        <v>MP</v>
      </c>
      <c r="AG405" s="4" t="str">
        <f>"16702351024"</f>
        <v>16702351024</v>
      </c>
      <c r="AH405" t="str">
        <f>""</f>
        <v/>
      </c>
      <c r="AI405" t="str">
        <f>"23611"</f>
        <v>23611</v>
      </c>
      <c r="AJ405" t="s">
        <v>79</v>
      </c>
      <c r="AK405" t="s">
        <v>79</v>
      </c>
      <c r="AL405" t="s">
        <v>80</v>
      </c>
      <c r="AM405" t="s">
        <v>79</v>
      </c>
      <c r="AP405" t="str">
        <f>"MAINTENANCE WORKER"</f>
        <v>MAINTENANCE WORKER</v>
      </c>
      <c r="AQ405" t="str">
        <f>"49-9071.00"</f>
        <v>49-9071.00</v>
      </c>
      <c r="AR405" t="str">
        <f>"Maintenance and Repair Workers, General"</f>
        <v>Maintenance and Repair Workers, General</v>
      </c>
      <c r="AS405" t="str">
        <f>"MANAGER"</f>
        <v>MANAGER</v>
      </c>
      <c r="AT405" t="s">
        <v>79</v>
      </c>
      <c r="AU405" t="str">
        <f>""</f>
        <v/>
      </c>
      <c r="AV405" t="str">
        <f>""</f>
        <v/>
      </c>
      <c r="AW405" t="s">
        <v>79</v>
      </c>
      <c r="AX405" t="str">
        <f>""</f>
        <v/>
      </c>
      <c r="AY405" t="s">
        <v>84</v>
      </c>
      <c r="BA405" t="s">
        <v>80</v>
      </c>
      <c r="BB405" t="s">
        <v>79</v>
      </c>
      <c r="BD405" t="s">
        <v>79</v>
      </c>
      <c r="BG405" t="s">
        <v>79</v>
      </c>
      <c r="BJ405" t="s">
        <v>560</v>
      </c>
      <c r="BK405" t="str">
        <f>"AS PERDIDO ROAD"</f>
        <v>AS PERDIDO ROAD</v>
      </c>
      <c r="BL405" t="str">
        <f>"CHALAN PIAO"</f>
        <v>CHALAN PIAO</v>
      </c>
      <c r="BM405" t="str">
        <f t="shared" ref="BM405:BM410" si="247">"SAIPAN"</f>
        <v>SAIPAN</v>
      </c>
      <c r="BO405" t="s">
        <v>83</v>
      </c>
      <c r="BP405" s="4" t="str">
        <f t="shared" ref="BP405:BP412" si="248">"96950"</f>
        <v>96950</v>
      </c>
      <c r="BQ405" t="s">
        <v>79</v>
      </c>
      <c r="BR405" t="str">
        <f>"37-2011.00"</f>
        <v>37-2011.00</v>
      </c>
      <c r="BS405" t="s">
        <v>313</v>
      </c>
      <c r="BT405" s="3">
        <v>7.99</v>
      </c>
      <c r="BU405" t="s">
        <v>80</v>
      </c>
      <c r="BV405" t="s">
        <v>90</v>
      </c>
      <c r="BW405" t="s">
        <v>92</v>
      </c>
      <c r="BZ405" s="1">
        <v>45107</v>
      </c>
    </row>
    <row r="406" spans="1:78" ht="15" customHeight="1" x14ac:dyDescent="0.25">
      <c r="A406" t="s">
        <v>100</v>
      </c>
      <c r="B406" t="s">
        <v>94</v>
      </c>
      <c r="C406" s="1">
        <v>44787</v>
      </c>
      <c r="D406" s="1">
        <v>44867</v>
      </c>
      <c r="H406" t="s">
        <v>78</v>
      </c>
      <c r="I406" t="str">
        <f>"ALVAREZ"</f>
        <v>ALVAREZ</v>
      </c>
      <c r="J406" t="str">
        <f>"SATURNINA"</f>
        <v>SATURNINA</v>
      </c>
      <c r="K406" t="str">
        <f>"MACATANGAY"</f>
        <v>MACATANGAY</v>
      </c>
      <c r="L406" t="str">
        <f>"PRESIDENT"</f>
        <v>PRESIDENT</v>
      </c>
      <c r="M406" t="str">
        <f>"P.O. BOX 505679"</f>
        <v>P.O. BOX 505679</v>
      </c>
      <c r="N406" t="str">
        <f>"CHALAN KIYA"</f>
        <v>CHALAN KIYA</v>
      </c>
      <c r="O406" t="str">
        <f t="shared" si="243"/>
        <v>SAIPAN</v>
      </c>
      <c r="P406" t="str">
        <f t="shared" si="242"/>
        <v>MP</v>
      </c>
      <c r="Q406" s="4" t="str">
        <f t="shared" si="244"/>
        <v>96950</v>
      </c>
      <c r="R406" t="str">
        <f t="shared" si="236"/>
        <v>UNITED STATES OF AMERICA</v>
      </c>
      <c r="S406" t="str">
        <f>"NORTHERN MARIANA ISLANDS"</f>
        <v>NORTHERN MARIANA ISLANDS</v>
      </c>
      <c r="T406" s="5" t="str">
        <f>"16702878109"</f>
        <v>16702878109</v>
      </c>
      <c r="U406" t="str">
        <f>""</f>
        <v/>
      </c>
      <c r="V406" s="5" t="str">
        <f>""</f>
        <v/>
      </c>
      <c r="W406" t="str">
        <f>"luckyRcorp@gmail.com"</f>
        <v>luckyRcorp@gmail.com</v>
      </c>
      <c r="X406" t="str">
        <f>"LUCKY R CORPORATION"</f>
        <v>LUCKY R CORPORATION</v>
      </c>
      <c r="Y406" t="str">
        <f>""</f>
        <v/>
      </c>
      <c r="Z406" t="str">
        <f>"P.O. BOX 505679"</f>
        <v>P.O. BOX 505679</v>
      </c>
      <c r="AA406" t="str">
        <f>"CHALAN KIYA"</f>
        <v>CHALAN KIYA</v>
      </c>
      <c r="AB406" t="str">
        <f t="shared" si="245"/>
        <v>SAIPAN</v>
      </c>
      <c r="AC406" t="str">
        <f t="shared" si="237"/>
        <v>MP</v>
      </c>
      <c r="AD406" t="str">
        <f t="shared" si="246"/>
        <v>96950</v>
      </c>
      <c r="AE406" t="str">
        <f t="shared" si="238"/>
        <v>UNITED STATES OF AMERICA</v>
      </c>
      <c r="AF406" t="str">
        <f>"NORTHERN MARIANA ISLANDS"</f>
        <v>NORTHERN MARIANA ISLANDS</v>
      </c>
      <c r="AG406" s="4" t="str">
        <f>"16702878109"</f>
        <v>16702878109</v>
      </c>
      <c r="AH406" t="str">
        <f>""</f>
        <v/>
      </c>
      <c r="AI406" t="str">
        <f>"722320"</f>
        <v>722320</v>
      </c>
      <c r="AJ406" t="s">
        <v>79</v>
      </c>
      <c r="AK406" t="s">
        <v>79</v>
      </c>
      <c r="AL406" t="s">
        <v>80</v>
      </c>
      <c r="AM406" t="s">
        <v>79</v>
      </c>
      <c r="AP406" t="str">
        <f>"FOOD PREPARATION AND SERVING RELATED WORKERS"</f>
        <v>FOOD PREPARATION AND SERVING RELATED WORKERS</v>
      </c>
      <c r="AQ406" t="str">
        <f>"35-9099.00"</f>
        <v>35-9099.00</v>
      </c>
      <c r="AR406" t="str">
        <f>"Food Preparation and Serving Related Workers, All Other"</f>
        <v>Food Preparation and Serving Related Workers, All Other</v>
      </c>
      <c r="AS406" t="str">
        <f>"OPERATIONS MANAGER"</f>
        <v>OPERATIONS MANAGER</v>
      </c>
      <c r="AT406" t="s">
        <v>79</v>
      </c>
      <c r="AU406" t="str">
        <f>""</f>
        <v/>
      </c>
      <c r="AV406" t="str">
        <f>""</f>
        <v/>
      </c>
      <c r="AW406" t="s">
        <v>82</v>
      </c>
      <c r="AX406" s="2" t="s">
        <v>101</v>
      </c>
      <c r="AY406" t="s">
        <v>84</v>
      </c>
      <c r="BA406" t="s">
        <v>80</v>
      </c>
      <c r="BB406" t="s">
        <v>79</v>
      </c>
      <c r="BD406" t="s">
        <v>82</v>
      </c>
      <c r="BE406">
        <v>1</v>
      </c>
      <c r="BF406" t="s">
        <v>102</v>
      </c>
      <c r="BG406" t="s">
        <v>82</v>
      </c>
      <c r="BH406">
        <v>3</v>
      </c>
      <c r="BI406" t="s">
        <v>103</v>
      </c>
      <c r="BJ406" t="s">
        <v>104</v>
      </c>
      <c r="BK406" t="str">
        <f>"P.O. BOX 505679"</f>
        <v>P.O. BOX 505679</v>
      </c>
      <c r="BL406" t="str">
        <f>"CHALAN KIYA"</f>
        <v>CHALAN KIYA</v>
      </c>
      <c r="BM406" t="str">
        <f t="shared" si="247"/>
        <v>SAIPAN</v>
      </c>
      <c r="BO406" t="s">
        <v>83</v>
      </c>
      <c r="BP406" s="4" t="str">
        <f t="shared" si="248"/>
        <v>96950</v>
      </c>
      <c r="BQ406" t="s">
        <v>79</v>
      </c>
      <c r="BR406" t="str">
        <f>"35-3023.00"</f>
        <v>35-3023.00</v>
      </c>
      <c r="BS406" t="s">
        <v>105</v>
      </c>
      <c r="BT406" s="3">
        <v>7.92</v>
      </c>
      <c r="BU406" t="s">
        <v>80</v>
      </c>
      <c r="BV406" t="s">
        <v>90</v>
      </c>
      <c r="BW406" t="s">
        <v>92</v>
      </c>
      <c r="BZ406" s="1">
        <v>45107</v>
      </c>
    </row>
    <row r="407" spans="1:78" ht="15" customHeight="1" x14ac:dyDescent="0.25">
      <c r="A407" t="s">
        <v>541</v>
      </c>
      <c r="B407" t="s">
        <v>94</v>
      </c>
      <c r="C407" s="1">
        <v>44826</v>
      </c>
      <c r="D407" s="1">
        <v>44866</v>
      </c>
      <c r="H407" t="s">
        <v>78</v>
      </c>
      <c r="I407" t="str">
        <f>"RAMIREZ"</f>
        <v>RAMIREZ</v>
      </c>
      <c r="J407" t="str">
        <f>"CESAR"</f>
        <v>CESAR</v>
      </c>
      <c r="K407" t="str">
        <f>"P"</f>
        <v>P</v>
      </c>
      <c r="L407" t="str">
        <f>"SECRETARY"</f>
        <v>SECRETARY</v>
      </c>
      <c r="M407" t="str">
        <f>"PO BOX 505339"</f>
        <v>PO BOX 505339</v>
      </c>
      <c r="N407" t="str">
        <f>""</f>
        <v/>
      </c>
      <c r="O407" t="str">
        <f t="shared" si="243"/>
        <v>SAIPAN</v>
      </c>
      <c r="P407" t="str">
        <f t="shared" si="242"/>
        <v>MP</v>
      </c>
      <c r="Q407" s="4" t="str">
        <f t="shared" si="244"/>
        <v>96950</v>
      </c>
      <c r="R407" t="str">
        <f t="shared" si="236"/>
        <v>UNITED STATES OF AMERICA</v>
      </c>
      <c r="S407" t="str">
        <f>""</f>
        <v/>
      </c>
      <c r="T407" s="5" t="str">
        <f>"16702356129"</f>
        <v>16702356129</v>
      </c>
      <c r="U407" t="str">
        <f>""</f>
        <v/>
      </c>
      <c r="V407" s="5" t="str">
        <f>""</f>
        <v/>
      </c>
      <c r="W407" t="str">
        <f>"goldencorp216@gmail.com"</f>
        <v>goldencorp216@gmail.com</v>
      </c>
      <c r="X407" t="str">
        <f>"GOLDEN CORPORATION"</f>
        <v>GOLDEN CORPORATION</v>
      </c>
      <c r="Y407" t="str">
        <f>"MANPOWER SERVICE"</f>
        <v>MANPOWER SERVICE</v>
      </c>
      <c r="Z407" t="str">
        <f>"PO BOX 505339"</f>
        <v>PO BOX 505339</v>
      </c>
      <c r="AA407" t="str">
        <f>""</f>
        <v/>
      </c>
      <c r="AB407" t="str">
        <f t="shared" si="245"/>
        <v>SAIPAN</v>
      </c>
      <c r="AC407" t="str">
        <f t="shared" si="237"/>
        <v>MP</v>
      </c>
      <c r="AD407" t="str">
        <f t="shared" si="246"/>
        <v>96950</v>
      </c>
      <c r="AE407" t="str">
        <f t="shared" si="238"/>
        <v>UNITED STATES OF AMERICA</v>
      </c>
      <c r="AF407" t="str">
        <f>""</f>
        <v/>
      </c>
      <c r="AG407" s="4" t="str">
        <f>"16702356129"</f>
        <v>16702356129</v>
      </c>
      <c r="AH407" t="str">
        <f>""</f>
        <v/>
      </c>
      <c r="AI407" t="str">
        <f>"56132"</f>
        <v>56132</v>
      </c>
      <c r="AJ407" t="s">
        <v>79</v>
      </c>
      <c r="AK407" t="s">
        <v>79</v>
      </c>
      <c r="AL407" t="s">
        <v>80</v>
      </c>
      <c r="AM407" t="s">
        <v>79</v>
      </c>
      <c r="AP407" t="str">
        <f>"MAIDS AND HOUSEKEEPING CLEANER"</f>
        <v>MAIDS AND HOUSEKEEPING CLEANER</v>
      </c>
      <c r="AQ407" t="str">
        <f>"37-2012.00"</f>
        <v>37-2012.00</v>
      </c>
      <c r="AR407" t="str">
        <f>"Maids and Housekeeping Cleaners"</f>
        <v>Maids and Housekeeping Cleaners</v>
      </c>
      <c r="AS407" t="str">
        <f>"SECRETARY"</f>
        <v>SECRETARY</v>
      </c>
      <c r="AT407" t="s">
        <v>79</v>
      </c>
      <c r="AU407" t="str">
        <f>""</f>
        <v/>
      </c>
      <c r="AV407" t="str">
        <f>""</f>
        <v/>
      </c>
      <c r="AW407" t="s">
        <v>79</v>
      </c>
      <c r="AX407" t="str">
        <f>""</f>
        <v/>
      </c>
      <c r="AY407" t="s">
        <v>84</v>
      </c>
      <c r="BA407" t="s">
        <v>80</v>
      </c>
      <c r="BB407" t="s">
        <v>79</v>
      </c>
      <c r="BD407" t="s">
        <v>79</v>
      </c>
      <c r="BG407" t="s">
        <v>82</v>
      </c>
      <c r="BH407">
        <v>3</v>
      </c>
      <c r="BI407" t="s">
        <v>542</v>
      </c>
      <c r="BJ407" t="s">
        <v>543</v>
      </c>
      <c r="BK407" t="str">
        <f>"SAIPAN"</f>
        <v>SAIPAN</v>
      </c>
      <c r="BL407" t="str">
        <f>""</f>
        <v/>
      </c>
      <c r="BM407" t="str">
        <f t="shared" si="247"/>
        <v>SAIPAN</v>
      </c>
      <c r="BO407" t="s">
        <v>83</v>
      </c>
      <c r="BP407" s="4" t="str">
        <f t="shared" si="248"/>
        <v>96950</v>
      </c>
      <c r="BQ407" t="s">
        <v>79</v>
      </c>
      <c r="BR407" t="str">
        <f>"37-2012.00"</f>
        <v>37-2012.00</v>
      </c>
      <c r="BS407" t="s">
        <v>109</v>
      </c>
      <c r="BT407" s="3">
        <v>7.56</v>
      </c>
      <c r="BU407" t="s">
        <v>80</v>
      </c>
      <c r="BV407" t="s">
        <v>90</v>
      </c>
      <c r="BW407" t="s">
        <v>92</v>
      </c>
      <c r="BZ407" s="1">
        <v>45107</v>
      </c>
    </row>
    <row r="408" spans="1:78" ht="15" customHeight="1" x14ac:dyDescent="0.25">
      <c r="A408" t="s">
        <v>544</v>
      </c>
      <c r="B408" t="s">
        <v>94</v>
      </c>
      <c r="C408" s="1">
        <v>44826</v>
      </c>
      <c r="D408" s="1">
        <v>44866</v>
      </c>
      <c r="H408" t="s">
        <v>78</v>
      </c>
      <c r="I408" t="str">
        <f>"RAMIREZ"</f>
        <v>RAMIREZ</v>
      </c>
      <c r="J408" t="str">
        <f>"CESAR"</f>
        <v>CESAR</v>
      </c>
      <c r="K408" t="str">
        <f>"P"</f>
        <v>P</v>
      </c>
      <c r="L408" t="str">
        <f>"SECRETARY"</f>
        <v>SECRETARY</v>
      </c>
      <c r="M408" t="str">
        <f>"PO BOX 505339"</f>
        <v>PO BOX 505339</v>
      </c>
      <c r="N408" t="str">
        <f>""</f>
        <v/>
      </c>
      <c r="O408" t="str">
        <f t="shared" si="243"/>
        <v>SAIPAN</v>
      </c>
      <c r="P408" t="str">
        <f t="shared" si="242"/>
        <v>MP</v>
      </c>
      <c r="Q408" s="4" t="str">
        <f t="shared" si="244"/>
        <v>96950</v>
      </c>
      <c r="R408" t="str">
        <f t="shared" si="236"/>
        <v>UNITED STATES OF AMERICA</v>
      </c>
      <c r="S408" t="str">
        <f>""</f>
        <v/>
      </c>
      <c r="T408" s="5" t="str">
        <f>"16702356129"</f>
        <v>16702356129</v>
      </c>
      <c r="U408" t="str">
        <f>""</f>
        <v/>
      </c>
      <c r="V408" s="5" t="str">
        <f>""</f>
        <v/>
      </c>
      <c r="W408" t="str">
        <f>"goldencorp216@gmail.com"</f>
        <v>goldencorp216@gmail.com</v>
      </c>
      <c r="X408" t="str">
        <f>"GOLDEN CORPORATON"</f>
        <v>GOLDEN CORPORATON</v>
      </c>
      <c r="Y408" t="str">
        <f>"MANPOWER SERVICE"</f>
        <v>MANPOWER SERVICE</v>
      </c>
      <c r="Z408" t="str">
        <f>"PO BOX 505339"</f>
        <v>PO BOX 505339</v>
      </c>
      <c r="AA408" t="str">
        <f>""</f>
        <v/>
      </c>
      <c r="AB408" t="str">
        <f t="shared" si="245"/>
        <v>SAIPAN</v>
      </c>
      <c r="AC408" t="str">
        <f t="shared" si="237"/>
        <v>MP</v>
      </c>
      <c r="AD408" t="str">
        <f t="shared" si="246"/>
        <v>96950</v>
      </c>
      <c r="AE408" t="str">
        <f t="shared" si="238"/>
        <v>UNITED STATES OF AMERICA</v>
      </c>
      <c r="AF408" t="str">
        <f>""</f>
        <v/>
      </c>
      <c r="AG408" s="4" t="str">
        <f>"16702356129"</f>
        <v>16702356129</v>
      </c>
      <c r="AH408" t="str">
        <f>""</f>
        <v/>
      </c>
      <c r="AI408" t="str">
        <f>"531110"</f>
        <v>531110</v>
      </c>
      <c r="AJ408" t="s">
        <v>79</v>
      </c>
      <c r="AK408" t="s">
        <v>79</v>
      </c>
      <c r="AL408" t="s">
        <v>80</v>
      </c>
      <c r="AM408" t="s">
        <v>79</v>
      </c>
      <c r="AP408" t="str">
        <f>"ACCOUNTANT"</f>
        <v>ACCOUNTANT</v>
      </c>
      <c r="AQ408" t="str">
        <f>"13-2011.00"</f>
        <v>13-2011.00</v>
      </c>
      <c r="AR408" t="str">
        <f>"Accountants and Auditors"</f>
        <v>Accountants and Auditors</v>
      </c>
      <c r="AS408" t="str">
        <f>"SECRETARY"</f>
        <v>SECRETARY</v>
      </c>
      <c r="AT408" t="s">
        <v>79</v>
      </c>
      <c r="AU408" t="str">
        <f>""</f>
        <v/>
      </c>
      <c r="AV408" t="str">
        <f>""</f>
        <v/>
      </c>
      <c r="AW408" t="s">
        <v>79</v>
      </c>
      <c r="AX408" t="str">
        <f>""</f>
        <v/>
      </c>
      <c r="AY408" t="s">
        <v>95</v>
      </c>
      <c r="BA408" t="s">
        <v>545</v>
      </c>
      <c r="BB408" t="s">
        <v>79</v>
      </c>
      <c r="BD408" t="s">
        <v>79</v>
      </c>
      <c r="BG408" t="s">
        <v>82</v>
      </c>
      <c r="BH408">
        <v>24</v>
      </c>
      <c r="BI408" t="s">
        <v>255</v>
      </c>
      <c r="BJ408" t="s">
        <v>546</v>
      </c>
      <c r="BK408" t="str">
        <f>"CHALAN PIAO VILLAGE"</f>
        <v>CHALAN PIAO VILLAGE</v>
      </c>
      <c r="BL408" t="str">
        <f>""</f>
        <v/>
      </c>
      <c r="BM408" t="str">
        <f t="shared" si="247"/>
        <v>SAIPAN</v>
      </c>
      <c r="BO408" t="s">
        <v>83</v>
      </c>
      <c r="BP408" s="4" t="str">
        <f t="shared" si="248"/>
        <v>96950</v>
      </c>
      <c r="BQ408" t="s">
        <v>79</v>
      </c>
      <c r="BR408" t="str">
        <f>"13-2011.00"</f>
        <v>13-2011.00</v>
      </c>
      <c r="BS408" t="s">
        <v>133</v>
      </c>
      <c r="BT408" s="3">
        <v>16.190000000000001</v>
      </c>
      <c r="BU408" t="s">
        <v>80</v>
      </c>
      <c r="BV408" t="s">
        <v>90</v>
      </c>
      <c r="BW408" t="s">
        <v>92</v>
      </c>
      <c r="BZ408" s="1">
        <v>45107</v>
      </c>
    </row>
    <row r="409" spans="1:78" ht="15" customHeight="1" x14ac:dyDescent="0.25">
      <c r="A409" t="s">
        <v>547</v>
      </c>
      <c r="B409" t="s">
        <v>94</v>
      </c>
      <c r="C409" s="1">
        <v>44826</v>
      </c>
      <c r="D409" s="1">
        <v>44866</v>
      </c>
      <c r="H409" t="s">
        <v>78</v>
      </c>
      <c r="I409" t="str">
        <f>"VAN DER MAAS"</f>
        <v>VAN DER MAAS</v>
      </c>
      <c r="J409" t="str">
        <f>"ERICK"</f>
        <v>ERICK</v>
      </c>
      <c r="K409" t="str">
        <f>"A."</f>
        <v>A.</v>
      </c>
      <c r="L409" t="str">
        <f>"PRESIDENT"</f>
        <v>PRESIDENT</v>
      </c>
      <c r="M409" t="str">
        <f>"PMB 936 BOX 10000"</f>
        <v>PMB 936 BOX 10000</v>
      </c>
      <c r="N409" t="str">
        <f>"NAURU LOOP SUSUPE VILLAGE"</f>
        <v>NAURU LOOP SUSUPE VILLAGE</v>
      </c>
      <c r="O409" t="str">
        <f t="shared" si="243"/>
        <v>SAIPAN</v>
      </c>
      <c r="P409" t="str">
        <f t="shared" si="242"/>
        <v>MP</v>
      </c>
      <c r="Q409" s="4" t="str">
        <f t="shared" si="244"/>
        <v>96950</v>
      </c>
      <c r="R409" t="str">
        <f t="shared" si="236"/>
        <v>UNITED STATES OF AMERICA</v>
      </c>
      <c r="S409" t="str">
        <f>""</f>
        <v/>
      </c>
      <c r="T409" s="5" t="str">
        <f>"16702346647"</f>
        <v>16702346647</v>
      </c>
      <c r="U409" t="str">
        <f>""</f>
        <v/>
      </c>
      <c r="V409" s="5" t="str">
        <f>""</f>
        <v/>
      </c>
      <c r="W409" t="str">
        <f>"nmissaipancnmi@gmail.com"</f>
        <v>nmissaipancnmi@gmail.com</v>
      </c>
      <c r="X409" t="str">
        <f>"NORTHERN MARIANAS INTERNATIONAL SCHOOL"</f>
        <v>NORTHERN MARIANAS INTERNATIONAL SCHOOL</v>
      </c>
      <c r="Y409" t="str">
        <f>""</f>
        <v/>
      </c>
      <c r="Z409" t="str">
        <f>"PMB 936 BOX 10000"</f>
        <v>PMB 936 BOX 10000</v>
      </c>
      <c r="AA409" t="str">
        <f>"NAURU LOOP SUSUPE VILLAGE"</f>
        <v>NAURU LOOP SUSUPE VILLAGE</v>
      </c>
      <c r="AB409" t="str">
        <f t="shared" si="245"/>
        <v>SAIPAN</v>
      </c>
      <c r="AC409" t="str">
        <f t="shared" si="237"/>
        <v>MP</v>
      </c>
      <c r="AD409" t="str">
        <f t="shared" si="246"/>
        <v>96950</v>
      </c>
      <c r="AE409" t="str">
        <f t="shared" si="238"/>
        <v>UNITED STATES OF AMERICA</v>
      </c>
      <c r="AF409" t="str">
        <f>""</f>
        <v/>
      </c>
      <c r="AG409" s="4" t="str">
        <f>"16702346647"</f>
        <v>16702346647</v>
      </c>
      <c r="AH409" t="str">
        <f>""</f>
        <v/>
      </c>
      <c r="AI409" t="str">
        <f>"624410"</f>
        <v>624410</v>
      </c>
      <c r="AJ409" t="s">
        <v>79</v>
      </c>
      <c r="AK409" t="s">
        <v>79</v>
      </c>
      <c r="AL409" t="s">
        <v>80</v>
      </c>
      <c r="AM409" t="s">
        <v>79</v>
      </c>
      <c r="AP409" t="str">
        <f>"CHILDCARE WORKERS"</f>
        <v>CHILDCARE WORKERS</v>
      </c>
      <c r="AQ409" t="str">
        <f>"39-9011.00"</f>
        <v>39-9011.00</v>
      </c>
      <c r="AR409" t="str">
        <f>"Childcare Workers"</f>
        <v>Childcare Workers</v>
      </c>
      <c r="AS409" t="str">
        <f>""</f>
        <v/>
      </c>
      <c r="AT409" t="s">
        <v>79</v>
      </c>
      <c r="AU409" t="str">
        <f>""</f>
        <v/>
      </c>
      <c r="AV409" t="str">
        <f>""</f>
        <v/>
      </c>
      <c r="AW409" t="s">
        <v>79</v>
      </c>
      <c r="AX409" t="str">
        <f>""</f>
        <v/>
      </c>
      <c r="AY409" t="s">
        <v>84</v>
      </c>
      <c r="BA409" t="s">
        <v>80</v>
      </c>
      <c r="BB409" t="s">
        <v>79</v>
      </c>
      <c r="BD409" t="s">
        <v>82</v>
      </c>
      <c r="BE409">
        <v>6</v>
      </c>
      <c r="BF409" t="s">
        <v>548</v>
      </c>
      <c r="BG409" t="s">
        <v>82</v>
      </c>
      <c r="BH409">
        <v>6</v>
      </c>
      <c r="BI409" t="s">
        <v>549</v>
      </c>
      <c r="BJ409" t="s">
        <v>550</v>
      </c>
      <c r="BK409" t="str">
        <f>"GROUND FLOOR MARIANAS BUSINESS PLAZA NAURU LOOP"</f>
        <v>GROUND FLOOR MARIANAS BUSINESS PLAZA NAURU LOOP</v>
      </c>
      <c r="BL409" t="str">
        <f>"PMB 936 BOX 10000"</f>
        <v>PMB 936 BOX 10000</v>
      </c>
      <c r="BM409" t="str">
        <f t="shared" si="247"/>
        <v>SAIPAN</v>
      </c>
      <c r="BO409" t="s">
        <v>83</v>
      </c>
      <c r="BP409" s="4" t="str">
        <f t="shared" si="248"/>
        <v>96950</v>
      </c>
      <c r="BQ409" t="s">
        <v>79</v>
      </c>
      <c r="BR409" t="str">
        <f>"39-9011.00"</f>
        <v>39-9011.00</v>
      </c>
      <c r="BS409" t="s">
        <v>551</v>
      </c>
      <c r="BT409" s="3">
        <v>7.53</v>
      </c>
      <c r="BU409" t="s">
        <v>80</v>
      </c>
      <c r="BV409" t="s">
        <v>90</v>
      </c>
      <c r="BW409" t="s">
        <v>92</v>
      </c>
      <c r="BZ409" s="1">
        <v>45107</v>
      </c>
    </row>
    <row r="410" spans="1:78" ht="15" customHeight="1" x14ac:dyDescent="0.25">
      <c r="A410" t="s">
        <v>552</v>
      </c>
      <c r="B410" t="s">
        <v>94</v>
      </c>
      <c r="C410" s="1">
        <v>44826</v>
      </c>
      <c r="D410" s="1">
        <v>44866</v>
      </c>
      <c r="H410" t="s">
        <v>78</v>
      </c>
      <c r="I410" t="str">
        <f>"VAN DER MAAS"</f>
        <v>VAN DER MAAS</v>
      </c>
      <c r="J410" t="str">
        <f>"ERICK"</f>
        <v>ERICK</v>
      </c>
      <c r="K410" t="str">
        <f>"A."</f>
        <v>A.</v>
      </c>
      <c r="L410" t="str">
        <f>"PRESIDENT"</f>
        <v>PRESIDENT</v>
      </c>
      <c r="M410" t="str">
        <f>"PMB 936 BOX 10000"</f>
        <v>PMB 936 BOX 10000</v>
      </c>
      <c r="N410" t="str">
        <f>"NAURU LOOP SUSUPE VILLAGE"</f>
        <v>NAURU LOOP SUSUPE VILLAGE</v>
      </c>
      <c r="O410" t="str">
        <f t="shared" si="243"/>
        <v>SAIPAN</v>
      </c>
      <c r="P410" t="str">
        <f t="shared" si="242"/>
        <v>MP</v>
      </c>
      <c r="Q410" s="4" t="str">
        <f t="shared" si="244"/>
        <v>96950</v>
      </c>
      <c r="R410" t="str">
        <f t="shared" si="236"/>
        <v>UNITED STATES OF AMERICA</v>
      </c>
      <c r="S410" t="str">
        <f>""</f>
        <v/>
      </c>
      <c r="T410" s="5" t="str">
        <f>"16702346647"</f>
        <v>16702346647</v>
      </c>
      <c r="U410" t="str">
        <f>""</f>
        <v/>
      </c>
      <c r="V410" s="5" t="str">
        <f>""</f>
        <v/>
      </c>
      <c r="W410" t="str">
        <f>"nmissaipancnmi@gmail.com"</f>
        <v>nmissaipancnmi@gmail.com</v>
      </c>
      <c r="X410" t="str">
        <f>"NORTHERN MARIANAS INTERNATIONAL SCHOOL"</f>
        <v>NORTHERN MARIANAS INTERNATIONAL SCHOOL</v>
      </c>
      <c r="Y410" t="str">
        <f>""</f>
        <v/>
      </c>
      <c r="Z410" t="str">
        <f>"PMB 936 BOX 10000"</f>
        <v>PMB 936 BOX 10000</v>
      </c>
      <c r="AA410" t="str">
        <f>"NAURU LOOP SUSUPE VILLAGE"</f>
        <v>NAURU LOOP SUSUPE VILLAGE</v>
      </c>
      <c r="AB410" t="str">
        <f t="shared" si="245"/>
        <v>SAIPAN</v>
      </c>
      <c r="AC410" t="str">
        <f t="shared" si="237"/>
        <v>MP</v>
      </c>
      <c r="AD410" t="str">
        <f t="shared" si="246"/>
        <v>96950</v>
      </c>
      <c r="AE410" t="str">
        <f t="shared" si="238"/>
        <v>UNITED STATES OF AMERICA</v>
      </c>
      <c r="AF410" t="str">
        <f>""</f>
        <v/>
      </c>
      <c r="AG410" s="4" t="str">
        <f>"16702346647"</f>
        <v>16702346647</v>
      </c>
      <c r="AH410" t="str">
        <f>""</f>
        <v/>
      </c>
      <c r="AI410" t="str">
        <f>"624410"</f>
        <v>624410</v>
      </c>
      <c r="AJ410" t="s">
        <v>79</v>
      </c>
      <c r="AK410" t="s">
        <v>79</v>
      </c>
      <c r="AL410" t="s">
        <v>80</v>
      </c>
      <c r="AM410" t="s">
        <v>79</v>
      </c>
      <c r="AP410" t="str">
        <f>"SELF-ENRICHMENT TEACHER"</f>
        <v>SELF-ENRICHMENT TEACHER</v>
      </c>
      <c r="AQ410" t="str">
        <f>"25-3021.00"</f>
        <v>25-3021.00</v>
      </c>
      <c r="AR410" t="str">
        <f>"Self-Enrichment Teachers"</f>
        <v>Self-Enrichment Teachers</v>
      </c>
      <c r="AS410" t="str">
        <f>""</f>
        <v/>
      </c>
      <c r="AT410" t="s">
        <v>79</v>
      </c>
      <c r="AU410" t="str">
        <f>""</f>
        <v/>
      </c>
      <c r="AV410" t="str">
        <f>""</f>
        <v/>
      </c>
      <c r="AW410" t="s">
        <v>79</v>
      </c>
      <c r="AX410" t="str">
        <f>""</f>
        <v/>
      </c>
      <c r="AY410" t="s">
        <v>84</v>
      </c>
      <c r="BA410" t="s">
        <v>80</v>
      </c>
      <c r="BB410" t="s">
        <v>79</v>
      </c>
      <c r="BD410" t="s">
        <v>82</v>
      </c>
      <c r="BE410">
        <v>6</v>
      </c>
      <c r="BF410" t="s">
        <v>479</v>
      </c>
      <c r="BG410" t="s">
        <v>82</v>
      </c>
      <c r="BH410">
        <v>12</v>
      </c>
      <c r="BI410" t="s">
        <v>553</v>
      </c>
      <c r="BJ410" t="s">
        <v>554</v>
      </c>
      <c r="BK410" t="str">
        <f>"GROUND FLOOR MARIANAS BUSINESS PLAZA NAURU LOOP"</f>
        <v>GROUND FLOOR MARIANAS BUSINESS PLAZA NAURU LOOP</v>
      </c>
      <c r="BL410" t="str">
        <f>"PMB 936 BOX 10000"</f>
        <v>PMB 936 BOX 10000</v>
      </c>
      <c r="BM410" t="str">
        <f t="shared" si="247"/>
        <v>SAIPAN</v>
      </c>
      <c r="BO410" t="s">
        <v>83</v>
      </c>
      <c r="BP410" s="4" t="str">
        <f t="shared" si="248"/>
        <v>96950</v>
      </c>
      <c r="BQ410" t="s">
        <v>79</v>
      </c>
      <c r="BR410" t="str">
        <f>"25-3021.00"</f>
        <v>25-3021.00</v>
      </c>
      <c r="BS410" t="s">
        <v>535</v>
      </c>
      <c r="BT410" s="3">
        <v>23.72</v>
      </c>
      <c r="BU410" t="s">
        <v>80</v>
      </c>
      <c r="BV410" t="s">
        <v>90</v>
      </c>
      <c r="BW410" t="s">
        <v>92</v>
      </c>
      <c r="BZ410" s="1">
        <v>45107</v>
      </c>
    </row>
    <row r="411" spans="1:78" ht="15" customHeight="1" x14ac:dyDescent="0.25">
      <c r="A411" t="s">
        <v>555</v>
      </c>
      <c r="B411" t="s">
        <v>94</v>
      </c>
      <c r="C411" s="1">
        <v>44826</v>
      </c>
      <c r="D411" s="1">
        <v>44866</v>
      </c>
      <c r="H411" t="s">
        <v>78</v>
      </c>
      <c r="I411" t="str">
        <f>"Coldeen"</f>
        <v>Coldeen</v>
      </c>
      <c r="J411" t="str">
        <f>"Kathrene"</f>
        <v>Kathrene</v>
      </c>
      <c r="K411" t="str">
        <f>"Taylor"</f>
        <v>Taylor</v>
      </c>
      <c r="L411" t="str">
        <f>"Member Manager"</f>
        <v>Member Manager</v>
      </c>
      <c r="M411" t="str">
        <f>"PO BOX 5373 CHRB"</f>
        <v>PO BOX 5373 CHRB</v>
      </c>
      <c r="N411" t="str">
        <f>""</f>
        <v/>
      </c>
      <c r="O411" t="str">
        <f>"Saipan"</f>
        <v>Saipan</v>
      </c>
      <c r="P411" t="str">
        <f t="shared" si="242"/>
        <v>MP</v>
      </c>
      <c r="Q411" s="4" t="str">
        <f t="shared" si="244"/>
        <v>96950</v>
      </c>
      <c r="R411" t="str">
        <f t="shared" si="236"/>
        <v>UNITED STATES OF AMERICA</v>
      </c>
      <c r="S411" t="str">
        <f>""</f>
        <v/>
      </c>
      <c r="T411" s="5" t="str">
        <f>"16704830017"</f>
        <v>16704830017</v>
      </c>
      <c r="U411" t="str">
        <f>""</f>
        <v/>
      </c>
      <c r="V411" s="5" t="str">
        <f>""</f>
        <v/>
      </c>
      <c r="W411" t="str">
        <f>"capitalanalyticsllc@gmail.com"</f>
        <v>capitalanalyticsllc@gmail.com</v>
      </c>
      <c r="X411" t="str">
        <f>"Capital Analytics LLC"</f>
        <v>Capital Analytics LLC</v>
      </c>
      <c r="Y411" t="str">
        <f>""</f>
        <v/>
      </c>
      <c r="Z411" t="str">
        <f>"PO Box 5373 CHRB"</f>
        <v>PO Box 5373 CHRB</v>
      </c>
      <c r="AA411" t="str">
        <f>"Sadog Tasi Village"</f>
        <v>Sadog Tasi Village</v>
      </c>
      <c r="AB411" t="str">
        <f>"Saipan"</f>
        <v>Saipan</v>
      </c>
      <c r="AC411" t="str">
        <f t="shared" si="237"/>
        <v>MP</v>
      </c>
      <c r="AD411" t="str">
        <f t="shared" si="246"/>
        <v>96950</v>
      </c>
      <c r="AE411" t="str">
        <f t="shared" si="238"/>
        <v>UNITED STATES OF AMERICA</v>
      </c>
      <c r="AF411" t="str">
        <f>""</f>
        <v/>
      </c>
      <c r="AG411" s="4" t="str">
        <f>"16704830017"</f>
        <v>16704830017</v>
      </c>
      <c r="AH411" t="str">
        <f>""</f>
        <v/>
      </c>
      <c r="AI411" t="str">
        <f>"54121"</f>
        <v>54121</v>
      </c>
      <c r="AJ411" t="s">
        <v>79</v>
      </c>
      <c r="AK411" t="s">
        <v>79</v>
      </c>
      <c r="AL411" t="s">
        <v>80</v>
      </c>
      <c r="AM411" t="s">
        <v>79</v>
      </c>
      <c r="AP411" t="str">
        <f>"Accounting Specialist"</f>
        <v>Accounting Specialist</v>
      </c>
      <c r="AQ411" t="str">
        <f>"43-3031.00"</f>
        <v>43-3031.00</v>
      </c>
      <c r="AR411" t="str">
        <f>"Bookkeeping, Accounting, and Auditing Clerks"</f>
        <v>Bookkeeping, Accounting, and Auditing Clerks</v>
      </c>
      <c r="AS411" t="str">
        <f>"Member Manager"</f>
        <v>Member Manager</v>
      </c>
      <c r="AT411" t="s">
        <v>79</v>
      </c>
      <c r="AU411" t="str">
        <f>""</f>
        <v/>
      </c>
      <c r="AV411" t="str">
        <f>""</f>
        <v/>
      </c>
      <c r="AW411" t="s">
        <v>79</v>
      </c>
      <c r="AX411" t="str">
        <f>""</f>
        <v/>
      </c>
      <c r="AY411" t="s">
        <v>95</v>
      </c>
      <c r="BA411" t="s">
        <v>556</v>
      </c>
      <c r="BB411" t="s">
        <v>79</v>
      </c>
      <c r="BD411" t="s">
        <v>79</v>
      </c>
      <c r="BG411" t="s">
        <v>82</v>
      </c>
      <c r="BH411">
        <v>24</v>
      </c>
      <c r="BI411" t="s">
        <v>557</v>
      </c>
      <c r="BJ411" s="2" t="s">
        <v>558</v>
      </c>
      <c r="BK411" t="str">
        <f>"PO BOX 5373 CHRB"</f>
        <v>PO BOX 5373 CHRB</v>
      </c>
      <c r="BL411" t="str">
        <f>"Sadog Tasi Village"</f>
        <v>Sadog Tasi Village</v>
      </c>
      <c r="BM411" t="str">
        <f>"Saipan"</f>
        <v>Saipan</v>
      </c>
      <c r="BO411" t="s">
        <v>83</v>
      </c>
      <c r="BP411" s="4" t="str">
        <f t="shared" si="248"/>
        <v>96950</v>
      </c>
      <c r="BQ411" t="s">
        <v>79</v>
      </c>
      <c r="BR411" t="str">
        <f>"43-3031.00"</f>
        <v>43-3031.00</v>
      </c>
      <c r="BS411" t="s">
        <v>142</v>
      </c>
      <c r="BT411" s="3">
        <v>11.21</v>
      </c>
      <c r="BU411" t="s">
        <v>80</v>
      </c>
      <c r="BV411" t="s">
        <v>90</v>
      </c>
      <c r="BW411" t="s">
        <v>92</v>
      </c>
      <c r="BZ411" s="1">
        <v>45107</v>
      </c>
    </row>
    <row r="412" spans="1:78" ht="15" customHeight="1" x14ac:dyDescent="0.25">
      <c r="A412" t="s">
        <v>561</v>
      </c>
      <c r="B412" t="s">
        <v>94</v>
      </c>
      <c r="C412" s="1">
        <v>44826</v>
      </c>
      <c r="D412" s="1">
        <v>44866</v>
      </c>
      <c r="H412" t="s">
        <v>78</v>
      </c>
      <c r="I412" t="str">
        <f>"LIANG"</f>
        <v>LIANG</v>
      </c>
      <c r="J412" t="str">
        <f>"QI HAO"</f>
        <v>QI HAO</v>
      </c>
      <c r="K412" t="str">
        <f>""</f>
        <v/>
      </c>
      <c r="L412" t="str">
        <f>"MANAGER"</f>
        <v>MANAGER</v>
      </c>
      <c r="M412" t="str">
        <f>"PMB 143 BOX 10000"</f>
        <v>PMB 143 BOX 10000</v>
      </c>
      <c r="N412" t="str">
        <f>""</f>
        <v/>
      </c>
      <c r="O412" t="str">
        <f>"SAIPAN"</f>
        <v>SAIPAN</v>
      </c>
      <c r="P412" t="str">
        <f t="shared" si="242"/>
        <v>MP</v>
      </c>
      <c r="Q412" s="4" t="str">
        <f t="shared" si="244"/>
        <v>96950</v>
      </c>
      <c r="R412" t="str">
        <f t="shared" si="236"/>
        <v>UNITED STATES OF AMERICA</v>
      </c>
      <c r="S412" t="str">
        <f>""</f>
        <v/>
      </c>
      <c r="T412" s="5" t="str">
        <f>"16702348900"</f>
        <v>16702348900</v>
      </c>
      <c r="U412" t="str">
        <f>""</f>
        <v/>
      </c>
      <c r="V412" s="5" t="str">
        <f>""</f>
        <v/>
      </c>
      <c r="W412" t="str">
        <f>"SOVHSPN@PTICOM.COM"</f>
        <v>SOVHSPN@PTICOM.COM</v>
      </c>
      <c r="X412" t="str">
        <f>"MODERN INVESTMENT INC."</f>
        <v>MODERN INVESTMENT INC.</v>
      </c>
      <c r="Y412" t="str">
        <f>"SAIPAN OCEAN VIEW HOTEL"</f>
        <v>SAIPAN OCEAN VIEW HOTEL</v>
      </c>
      <c r="Z412" t="str">
        <f>"PMB 143 BOX 10000"</f>
        <v>PMB 143 BOX 10000</v>
      </c>
      <c r="AA412" t="str">
        <f>""</f>
        <v/>
      </c>
      <c r="AB412" t="str">
        <f>"SAIPAN"</f>
        <v>SAIPAN</v>
      </c>
      <c r="AC412" t="str">
        <f t="shared" si="237"/>
        <v>MP</v>
      </c>
      <c r="AD412" t="str">
        <f t="shared" si="246"/>
        <v>96950</v>
      </c>
      <c r="AE412" t="str">
        <f t="shared" si="238"/>
        <v>UNITED STATES OF AMERICA</v>
      </c>
      <c r="AF412" t="str">
        <f>""</f>
        <v/>
      </c>
      <c r="AG412" s="4" t="str">
        <f>"16702348900"</f>
        <v>16702348900</v>
      </c>
      <c r="AH412" t="str">
        <f>""</f>
        <v/>
      </c>
      <c r="AI412" t="str">
        <f>"72111"</f>
        <v>72111</v>
      </c>
      <c r="AJ412" t="s">
        <v>79</v>
      </c>
      <c r="AK412" t="s">
        <v>79</v>
      </c>
      <c r="AL412" t="s">
        <v>80</v>
      </c>
      <c r="AM412" t="s">
        <v>79</v>
      </c>
      <c r="AP412" t="str">
        <f>"Front Desk Assistant"</f>
        <v>Front Desk Assistant</v>
      </c>
      <c r="AQ412" t="str">
        <f>"43-4081.00"</f>
        <v>43-4081.00</v>
      </c>
      <c r="AR412" t="str">
        <f>"Hotel, Motel, and Resort Desk Clerks"</f>
        <v>Hotel, Motel, and Resort Desk Clerks</v>
      </c>
      <c r="AS412" t="str">
        <f>"none"</f>
        <v>none</v>
      </c>
      <c r="AT412" t="s">
        <v>79</v>
      </c>
      <c r="AU412" t="str">
        <f>""</f>
        <v/>
      </c>
      <c r="AV412" t="str">
        <f>""</f>
        <v/>
      </c>
      <c r="AW412" t="s">
        <v>79</v>
      </c>
      <c r="AX412" t="str">
        <f>""</f>
        <v/>
      </c>
      <c r="AY412" t="s">
        <v>84</v>
      </c>
      <c r="BA412" t="s">
        <v>161</v>
      </c>
      <c r="BB412" t="s">
        <v>79</v>
      </c>
      <c r="BD412" t="s">
        <v>79</v>
      </c>
      <c r="BG412" t="s">
        <v>82</v>
      </c>
      <c r="BH412">
        <v>12</v>
      </c>
      <c r="BI412" t="s">
        <v>562</v>
      </c>
      <c r="BJ412" t="s">
        <v>161</v>
      </c>
      <c r="BK412" t="str">
        <f>"Garapan Village"</f>
        <v>Garapan Village</v>
      </c>
      <c r="BL412" t="str">
        <f>""</f>
        <v/>
      </c>
      <c r="BM412" t="str">
        <f>"Saipan"</f>
        <v>Saipan</v>
      </c>
      <c r="BO412" t="s">
        <v>83</v>
      </c>
      <c r="BP412" s="4" t="str">
        <f t="shared" si="248"/>
        <v>96950</v>
      </c>
      <c r="BQ412" t="s">
        <v>79</v>
      </c>
      <c r="BR412" t="str">
        <f>"43-4081.00"</f>
        <v>43-4081.00</v>
      </c>
      <c r="BS412" t="s">
        <v>563</v>
      </c>
      <c r="BT412" s="3">
        <v>8.08</v>
      </c>
      <c r="BU412" t="s">
        <v>80</v>
      </c>
      <c r="BV412" t="s">
        <v>90</v>
      </c>
      <c r="BW412" t="s">
        <v>92</v>
      </c>
      <c r="BZ412" s="1">
        <v>45107</v>
      </c>
    </row>
    <row r="413" spans="1:78" ht="15" customHeight="1" x14ac:dyDescent="0.25">
      <c r="A413" t="s">
        <v>564</v>
      </c>
      <c r="B413" t="s">
        <v>94</v>
      </c>
      <c r="C413" s="1">
        <v>44826</v>
      </c>
      <c r="D413" s="1">
        <v>44866</v>
      </c>
      <c r="H413" t="s">
        <v>78</v>
      </c>
      <c r="I413" t="str">
        <f>"Christian"</f>
        <v>Christian</v>
      </c>
      <c r="J413" t="str">
        <f>"Shaun"</f>
        <v>Shaun</v>
      </c>
      <c r="K413" t="str">
        <f>"Robert"</f>
        <v>Robert</v>
      </c>
      <c r="L413" t="str">
        <f>"President"</f>
        <v>President</v>
      </c>
      <c r="M413" t="str">
        <f>"Hangar One West Tinian International Airport"</f>
        <v>Hangar One West Tinian International Airport</v>
      </c>
      <c r="N413" t="str">
        <f>"P.O. Box 520461"</f>
        <v>P.O. Box 520461</v>
      </c>
      <c r="O413" t="str">
        <f>"Tinian"</f>
        <v>Tinian</v>
      </c>
      <c r="P413" t="str">
        <f t="shared" si="242"/>
        <v>MP</v>
      </c>
      <c r="Q413" s="4" t="str">
        <f>"96952"</f>
        <v>96952</v>
      </c>
      <c r="R413" t="str">
        <f t="shared" si="236"/>
        <v>UNITED STATES OF AMERICA</v>
      </c>
      <c r="S413" t="str">
        <f>"N/A"</f>
        <v>N/A</v>
      </c>
      <c r="T413" s="5" t="str">
        <f>"16704339989"</f>
        <v>16704339989</v>
      </c>
      <c r="U413" t="str">
        <f>""</f>
        <v/>
      </c>
      <c r="V413" s="5" t="str">
        <f>""</f>
        <v/>
      </c>
      <c r="W413" t="str">
        <f>"hrdept@starmarianasair.com"</f>
        <v>hrdept@starmarianasair.com</v>
      </c>
      <c r="X413" t="str">
        <f>"Star Marianas Air, Inc."</f>
        <v>Star Marianas Air, Inc.</v>
      </c>
      <c r="Y413" t="str">
        <f>"N/A"</f>
        <v>N/A</v>
      </c>
      <c r="Z413" t="str">
        <f>"Hangar One West Tinian International Airport"</f>
        <v>Hangar One West Tinian International Airport</v>
      </c>
      <c r="AA413" t="str">
        <f>"P.O. Box 520461"</f>
        <v>P.O. Box 520461</v>
      </c>
      <c r="AB413" t="str">
        <f>"Tinian"</f>
        <v>Tinian</v>
      </c>
      <c r="AC413" t="str">
        <f t="shared" si="237"/>
        <v>MP</v>
      </c>
      <c r="AD413" t="str">
        <f>"96952"</f>
        <v>96952</v>
      </c>
      <c r="AE413" t="str">
        <f t="shared" si="238"/>
        <v>UNITED STATES OF AMERICA</v>
      </c>
      <c r="AF413" t="str">
        <f>"N/A"</f>
        <v>N/A</v>
      </c>
      <c r="AG413" s="4" t="str">
        <f>"16704339989"</f>
        <v>16704339989</v>
      </c>
      <c r="AH413" t="str">
        <f>""</f>
        <v/>
      </c>
      <c r="AI413" t="str">
        <f>"481111"</f>
        <v>481111</v>
      </c>
      <c r="AJ413" t="s">
        <v>79</v>
      </c>
      <c r="AK413" t="s">
        <v>79</v>
      </c>
      <c r="AL413" t="s">
        <v>80</v>
      </c>
      <c r="AM413" t="s">
        <v>79</v>
      </c>
      <c r="AP413" t="str">
        <f>"Facilities and Ground Support Mechanic"</f>
        <v>Facilities and Ground Support Mechanic</v>
      </c>
      <c r="AQ413" t="str">
        <f>"49-9071.00"</f>
        <v>49-9071.00</v>
      </c>
      <c r="AR413" t="str">
        <f>"Maintenance and Repair Workers, General"</f>
        <v>Maintenance and Repair Workers, General</v>
      </c>
      <c r="AS413" t="str">
        <f>"Director of Maintenance"</f>
        <v>Director of Maintenance</v>
      </c>
      <c r="AT413" t="s">
        <v>79</v>
      </c>
      <c r="AU413" t="str">
        <f>""</f>
        <v/>
      </c>
      <c r="AV413" t="str">
        <f>""</f>
        <v/>
      </c>
      <c r="AW413" t="s">
        <v>79</v>
      </c>
      <c r="AX413" t="str">
        <f>""</f>
        <v/>
      </c>
      <c r="AY413" t="s">
        <v>84</v>
      </c>
      <c r="BA413" t="s">
        <v>80</v>
      </c>
      <c r="BB413" t="s">
        <v>79</v>
      </c>
      <c r="BD413" t="s">
        <v>79</v>
      </c>
      <c r="BG413" t="s">
        <v>82</v>
      </c>
      <c r="BH413">
        <v>12</v>
      </c>
      <c r="BI413" t="s">
        <v>565</v>
      </c>
      <c r="BJ413" t="s">
        <v>566</v>
      </c>
      <c r="BK413" t="str">
        <f>"Hangar One West Tinian International Airport"</f>
        <v>Hangar One West Tinian International Airport</v>
      </c>
      <c r="BL413" t="str">
        <f>"P.O. Box 520461"</f>
        <v>P.O. Box 520461</v>
      </c>
      <c r="BM413" t="str">
        <f>"Tinian"</f>
        <v>Tinian</v>
      </c>
      <c r="BO413" t="s">
        <v>83</v>
      </c>
      <c r="BP413" s="4" t="str">
        <f>"96952"</f>
        <v>96952</v>
      </c>
      <c r="BQ413" t="s">
        <v>79</v>
      </c>
      <c r="BR413" t="str">
        <f>"49-9071.00"</f>
        <v>49-9071.00</v>
      </c>
      <c r="BS413" t="s">
        <v>146</v>
      </c>
      <c r="BT413" s="3">
        <v>9.19</v>
      </c>
      <c r="BU413" t="s">
        <v>80</v>
      </c>
      <c r="BV413" t="s">
        <v>90</v>
      </c>
      <c r="BW413" t="s">
        <v>92</v>
      </c>
      <c r="BZ413" s="1">
        <v>45107</v>
      </c>
    </row>
    <row r="414" spans="1:78" ht="15" customHeight="1" x14ac:dyDescent="0.25">
      <c r="A414" t="s">
        <v>452</v>
      </c>
      <c r="B414" t="s">
        <v>94</v>
      </c>
      <c r="C414" s="1">
        <v>44819</v>
      </c>
      <c r="D414" s="1">
        <v>44866</v>
      </c>
      <c r="H414" t="s">
        <v>78</v>
      </c>
      <c r="I414" t="str">
        <f>"Suguitan"</f>
        <v>Suguitan</v>
      </c>
      <c r="J414" t="str">
        <f>"Rosalie"</f>
        <v>Rosalie</v>
      </c>
      <c r="K414" t="str">
        <f>"Singson"</f>
        <v>Singson</v>
      </c>
      <c r="L414" t="str">
        <f>"Bookkeeper"</f>
        <v>Bookkeeper</v>
      </c>
      <c r="M414" t="str">
        <f>"Chalan Pale Arnold, Middle Road"</f>
        <v>Chalan Pale Arnold, Middle Road</v>
      </c>
      <c r="N414" t="str">
        <f>"P.O. Box 500529, Saipan"</f>
        <v>P.O. Box 500529, Saipan</v>
      </c>
      <c r="O414" t="str">
        <f>"Gualo Rai"</f>
        <v>Gualo Rai</v>
      </c>
      <c r="P414" t="str">
        <f t="shared" si="242"/>
        <v>MP</v>
      </c>
      <c r="Q414" s="4" t="str">
        <f>"96950"</f>
        <v>96950</v>
      </c>
      <c r="R414" t="str">
        <f t="shared" si="236"/>
        <v>UNITED STATES OF AMERICA</v>
      </c>
      <c r="S414" t="str">
        <f>"n/a"</f>
        <v>n/a</v>
      </c>
      <c r="T414" s="5" t="str">
        <f>"16702852253"</f>
        <v>16702852253</v>
      </c>
      <c r="U414" t="str">
        <f>""</f>
        <v/>
      </c>
      <c r="V414" s="5" t="str">
        <f>""</f>
        <v/>
      </c>
      <c r="W414" t="str">
        <f>"bluespotspn@gmail.com"</f>
        <v>bluespotspn@gmail.com</v>
      </c>
      <c r="X414" t="str">
        <f>"Blue Spot Corporation"</f>
        <v>Blue Spot Corporation</v>
      </c>
      <c r="Y414" t="str">
        <f>"Kylie's Bakeshop &amp; Restaurant"</f>
        <v>Kylie's Bakeshop &amp; Restaurant</v>
      </c>
      <c r="Z414" t="str">
        <f>"Chalan Pale Arnold, Middle Road"</f>
        <v>Chalan Pale Arnold, Middle Road</v>
      </c>
      <c r="AA414" t="str">
        <f>"P.O. Box 500529, Saipan"</f>
        <v>P.O. Box 500529, Saipan</v>
      </c>
      <c r="AB414" t="str">
        <f>"Gualo Rai"</f>
        <v>Gualo Rai</v>
      </c>
      <c r="AC414" t="str">
        <f t="shared" si="237"/>
        <v>MP</v>
      </c>
      <c r="AD414" t="str">
        <f>"96950"</f>
        <v>96950</v>
      </c>
      <c r="AE414" t="str">
        <f t="shared" si="238"/>
        <v>UNITED STATES OF AMERICA</v>
      </c>
      <c r="AF414" t="str">
        <f>"n/a"</f>
        <v>n/a</v>
      </c>
      <c r="AG414" s="4" t="str">
        <f>"16702852253"</f>
        <v>16702852253</v>
      </c>
      <c r="AH414" t="str">
        <f>""</f>
        <v/>
      </c>
      <c r="AI414" t="str">
        <f>"311811"</f>
        <v>311811</v>
      </c>
      <c r="AJ414" t="s">
        <v>79</v>
      </c>
      <c r="AK414" t="s">
        <v>79</v>
      </c>
      <c r="AL414" t="s">
        <v>80</v>
      </c>
      <c r="AM414" t="s">
        <v>79</v>
      </c>
      <c r="AP414" t="str">
        <f>"Baker"</f>
        <v>Baker</v>
      </c>
      <c r="AQ414" t="str">
        <f>"51-3011.00"</f>
        <v>51-3011.00</v>
      </c>
      <c r="AR414" t="str">
        <f>"Bakers"</f>
        <v>Bakers</v>
      </c>
      <c r="AS414" t="str">
        <f>"Bakery Supervisor"</f>
        <v>Bakery Supervisor</v>
      </c>
      <c r="AT414" t="s">
        <v>79</v>
      </c>
      <c r="AU414" t="str">
        <f>""</f>
        <v/>
      </c>
      <c r="AV414" t="str">
        <f>""</f>
        <v/>
      </c>
      <c r="AW414" t="s">
        <v>79</v>
      </c>
      <c r="AX414" t="str">
        <f>""</f>
        <v/>
      </c>
      <c r="AY414" t="s">
        <v>81</v>
      </c>
      <c r="BA414" t="s">
        <v>119</v>
      </c>
      <c r="BB414" t="s">
        <v>79</v>
      </c>
      <c r="BD414" t="s">
        <v>79</v>
      </c>
      <c r="BG414" t="s">
        <v>82</v>
      </c>
      <c r="BH414">
        <v>12</v>
      </c>
      <c r="BI414" t="s">
        <v>430</v>
      </c>
      <c r="BJ414" t="s">
        <v>453</v>
      </c>
      <c r="BK414" t="str">
        <f>"Chalan Pale Arnold, Middle Road"</f>
        <v>Chalan Pale Arnold, Middle Road</v>
      </c>
      <c r="BL414" t="str">
        <f>"P.O. Box 500529, Saipan"</f>
        <v>P.O. Box 500529, Saipan</v>
      </c>
      <c r="BM414" t="str">
        <f>"Gualo Rai"</f>
        <v>Gualo Rai</v>
      </c>
      <c r="BO414" t="s">
        <v>83</v>
      </c>
      <c r="BP414" s="4" t="str">
        <f>"96950"</f>
        <v>96950</v>
      </c>
      <c r="BQ414" t="s">
        <v>79</v>
      </c>
      <c r="BR414" t="str">
        <f>"51-3011.00"</f>
        <v>51-3011.00</v>
      </c>
      <c r="BS414" t="s">
        <v>331</v>
      </c>
      <c r="BT414" s="3">
        <v>8.19</v>
      </c>
      <c r="BU414" t="s">
        <v>80</v>
      </c>
      <c r="BV414" t="s">
        <v>90</v>
      </c>
      <c r="BW414" t="s">
        <v>92</v>
      </c>
      <c r="BZ414" s="1">
        <v>45107</v>
      </c>
    </row>
    <row r="415" spans="1:78" ht="15" customHeight="1" x14ac:dyDescent="0.25">
      <c r="A415" t="s">
        <v>454</v>
      </c>
      <c r="B415" t="s">
        <v>94</v>
      </c>
      <c r="C415" s="1">
        <v>44819</v>
      </c>
      <c r="D415" s="1">
        <v>44866</v>
      </c>
      <c r="H415" t="s">
        <v>78</v>
      </c>
      <c r="I415" t="str">
        <f>"Ripple"</f>
        <v>Ripple</v>
      </c>
      <c r="J415" t="str">
        <f>"James William"</f>
        <v>James William</v>
      </c>
      <c r="K415" t="str">
        <f>"King"</f>
        <v>King</v>
      </c>
      <c r="L415" t="str">
        <f>"President"</f>
        <v>President</v>
      </c>
      <c r="M415" t="str">
        <f>"3565 Chalan Monsignor Guerrero Road"</f>
        <v>3565 Chalan Monsignor Guerrero Road</v>
      </c>
      <c r="N415" t="str">
        <f>"Post Office Box 501585, Saipan"</f>
        <v>Post Office Box 501585, Saipan</v>
      </c>
      <c r="O415" t="str">
        <f>"Dan Dan "</f>
        <v xml:space="preserve">Dan Dan </v>
      </c>
      <c r="P415" t="str">
        <f t="shared" si="242"/>
        <v>MP</v>
      </c>
      <c r="Q415" s="4" t="str">
        <f>"96950"</f>
        <v>96950</v>
      </c>
      <c r="R415" t="str">
        <f t="shared" si="236"/>
        <v>UNITED STATES OF AMERICA</v>
      </c>
      <c r="S415" t="str">
        <f>"N/A"</f>
        <v>N/A</v>
      </c>
      <c r="T415" s="5" t="str">
        <f>"16702857645"</f>
        <v>16702857645</v>
      </c>
      <c r="U415" t="str">
        <f>""</f>
        <v/>
      </c>
      <c r="V415" s="5" t="str">
        <f>""</f>
        <v/>
      </c>
      <c r="W415" t="str">
        <f>"jripple@marianasgeotech.com"</f>
        <v>jripple@marianasgeotech.com</v>
      </c>
      <c r="X415" t="str">
        <f>"Marianas Geotech Services, LLC"</f>
        <v>Marianas Geotech Services, LLC</v>
      </c>
      <c r="Y415" t="str">
        <f>""</f>
        <v/>
      </c>
      <c r="Z415" t="str">
        <f>"3565 Chalan Monsignor Guerrero Road"</f>
        <v>3565 Chalan Monsignor Guerrero Road</v>
      </c>
      <c r="AA415" t="str">
        <f>"Post Office Box 50158, Saipan"</f>
        <v>Post Office Box 50158, Saipan</v>
      </c>
      <c r="AB415" t="str">
        <f>"Dan Dan "</f>
        <v xml:space="preserve">Dan Dan </v>
      </c>
      <c r="AC415" t="str">
        <f t="shared" si="237"/>
        <v>MP</v>
      </c>
      <c r="AD415" t="str">
        <f>"96950"</f>
        <v>96950</v>
      </c>
      <c r="AE415" t="str">
        <f t="shared" si="238"/>
        <v>UNITED STATES OF AMERICA</v>
      </c>
      <c r="AF415" t="str">
        <f>"N/A"</f>
        <v>N/A</v>
      </c>
      <c r="AG415" s="4" t="str">
        <f>"16702347645"</f>
        <v>16702347645</v>
      </c>
      <c r="AH415" t="str">
        <f>""</f>
        <v/>
      </c>
      <c r="AI415" t="str">
        <f>"541330"</f>
        <v>541330</v>
      </c>
      <c r="AJ415" t="s">
        <v>79</v>
      </c>
      <c r="AK415" t="s">
        <v>79</v>
      </c>
      <c r="AL415" t="s">
        <v>80</v>
      </c>
      <c r="AM415" t="s">
        <v>79</v>
      </c>
      <c r="AP415" t="str">
        <f>"Soils/Materials Technician"</f>
        <v>Soils/Materials Technician</v>
      </c>
      <c r="AQ415" t="str">
        <f>"17-3022.00"</f>
        <v>17-3022.00</v>
      </c>
      <c r="AR415" t="str">
        <f>"Civil Engineering Technologists and Technicians"</f>
        <v>Civil Engineering Technologists and Technicians</v>
      </c>
      <c r="AS415" t="str">
        <f>"President"</f>
        <v>President</v>
      </c>
      <c r="AT415" t="s">
        <v>79</v>
      </c>
      <c r="AU415" t="str">
        <f>""</f>
        <v/>
      </c>
      <c r="AV415" t="str">
        <f>""</f>
        <v/>
      </c>
      <c r="AW415" t="s">
        <v>82</v>
      </c>
      <c r="AX415" t="str">
        <f>"May travel to Rota at least 1 to 2 times per year for a minimum of 1 to 3 days per trip, and may travel to Tinian at least 2 to 3 times per month for a minimum of 1 to 3 days per trip."</f>
        <v>May travel to Rota at least 1 to 2 times per year for a minimum of 1 to 3 days per trip, and may travel to Tinian at least 2 to 3 times per month for a minimum of 1 to 3 days per trip.</v>
      </c>
      <c r="AY415" t="s">
        <v>84</v>
      </c>
      <c r="BA415" t="s">
        <v>80</v>
      </c>
      <c r="BB415" t="s">
        <v>79</v>
      </c>
      <c r="BD415" t="s">
        <v>79</v>
      </c>
      <c r="BG415" t="s">
        <v>82</v>
      </c>
      <c r="BH415">
        <v>24</v>
      </c>
      <c r="BI415" t="s">
        <v>455</v>
      </c>
      <c r="BJ415" t="s">
        <v>456</v>
      </c>
      <c r="BK415" t="str">
        <f>"3565 Chalan Monsignor Guerrero Road"</f>
        <v>3565 Chalan Monsignor Guerrero Road</v>
      </c>
      <c r="BL415" t="str">
        <f>"Saipan"</f>
        <v>Saipan</v>
      </c>
      <c r="BM415" t="str">
        <f>"Dandan"</f>
        <v>Dandan</v>
      </c>
      <c r="BO415" t="s">
        <v>83</v>
      </c>
      <c r="BP415" s="4" t="str">
        <f>"96950"</f>
        <v>96950</v>
      </c>
      <c r="BQ415" t="s">
        <v>82</v>
      </c>
      <c r="BR415" t="str">
        <f>"19-1013.00"</f>
        <v>19-1013.00</v>
      </c>
      <c r="BS415" t="s">
        <v>457</v>
      </c>
      <c r="BT415" s="3">
        <v>12.11</v>
      </c>
      <c r="BU415" t="s">
        <v>80</v>
      </c>
      <c r="BV415" t="s">
        <v>90</v>
      </c>
      <c r="BW415" t="s">
        <v>92</v>
      </c>
      <c r="BZ415" s="1">
        <v>45107</v>
      </c>
    </row>
    <row r="416" spans="1:78" ht="15" customHeight="1" x14ac:dyDescent="0.25">
      <c r="A416" t="s">
        <v>523</v>
      </c>
      <c r="B416" t="s">
        <v>94</v>
      </c>
      <c r="C416" s="1">
        <v>44824</v>
      </c>
      <c r="D416" s="1">
        <v>44865</v>
      </c>
      <c r="H416" t="s">
        <v>78</v>
      </c>
      <c r="I416" t="str">
        <f>"Ortega"</f>
        <v>Ortega</v>
      </c>
      <c r="J416" t="str">
        <f>"Marilou"</f>
        <v>Marilou</v>
      </c>
      <c r="K416" t="str">
        <f>"B."</f>
        <v>B.</v>
      </c>
      <c r="L416" t="str">
        <f>"Manager"</f>
        <v>Manager</v>
      </c>
      <c r="M416" t="str">
        <f>"P.O BOX 506136"</f>
        <v>P.O BOX 506136</v>
      </c>
      <c r="N416" t="str">
        <f>""</f>
        <v/>
      </c>
      <c r="O416" t="str">
        <f>"Saipan "</f>
        <v xml:space="preserve">Saipan </v>
      </c>
      <c r="P416" t="str">
        <f t="shared" si="242"/>
        <v>MP</v>
      </c>
      <c r="Q416" s="4" t="str">
        <f>"96950"</f>
        <v>96950</v>
      </c>
      <c r="R416" t="str">
        <f t="shared" si="236"/>
        <v>UNITED STATES OF AMERICA</v>
      </c>
      <c r="S416" t="str">
        <f>""</f>
        <v/>
      </c>
      <c r="T416" s="5" t="str">
        <f>"16702331565"</f>
        <v>16702331565</v>
      </c>
      <c r="U416" t="str">
        <f>""</f>
        <v/>
      </c>
      <c r="V416" s="5" t="str">
        <f>""</f>
        <v/>
      </c>
      <c r="W416" t="str">
        <f>"jmjtomas1225@gmail.com"</f>
        <v>jmjtomas1225@gmail.com</v>
      </c>
      <c r="X416" t="str">
        <f>"Ortega Corporation"</f>
        <v>Ortega Corporation</v>
      </c>
      <c r="Y416" t="str">
        <f>"JMJ Apartment Rental/JMJ Construction"</f>
        <v>JMJ Apartment Rental/JMJ Construction</v>
      </c>
      <c r="Z416" t="str">
        <f>"P.O BOX 506136"</f>
        <v>P.O BOX 506136</v>
      </c>
      <c r="AA416" t="str">
        <f>""</f>
        <v/>
      </c>
      <c r="AB416" t="str">
        <f>"Saipan"</f>
        <v>Saipan</v>
      </c>
      <c r="AC416" t="str">
        <f t="shared" si="237"/>
        <v>MP</v>
      </c>
      <c r="AD416" t="str">
        <f>"96950"</f>
        <v>96950</v>
      </c>
      <c r="AE416" t="str">
        <f t="shared" si="238"/>
        <v>UNITED STATES OF AMERICA</v>
      </c>
      <c r="AF416" t="str">
        <f>""</f>
        <v/>
      </c>
      <c r="AG416" s="4" t="str">
        <f>"16702331565"</f>
        <v>16702331565</v>
      </c>
      <c r="AH416" t="str">
        <f>""</f>
        <v/>
      </c>
      <c r="AI416" t="str">
        <f>"531110"</f>
        <v>531110</v>
      </c>
      <c r="AJ416" t="s">
        <v>79</v>
      </c>
      <c r="AK416" t="s">
        <v>79</v>
      </c>
      <c r="AL416" t="s">
        <v>80</v>
      </c>
      <c r="AM416" t="s">
        <v>79</v>
      </c>
      <c r="AP416" t="str">
        <f>"General Maintenance Worker"</f>
        <v>General Maintenance Worker</v>
      </c>
      <c r="AQ416" t="str">
        <f>"49-9071.00"</f>
        <v>49-9071.00</v>
      </c>
      <c r="AR416" t="str">
        <f>"Maintenance and Repair Workers, General"</f>
        <v>Maintenance and Repair Workers, General</v>
      </c>
      <c r="AS416" t="str">
        <f>"None"</f>
        <v>None</v>
      </c>
      <c r="AT416" t="s">
        <v>79</v>
      </c>
      <c r="AU416" t="str">
        <f>""</f>
        <v/>
      </c>
      <c r="AV416" t="str">
        <f>""</f>
        <v/>
      </c>
      <c r="AW416" t="s">
        <v>79</v>
      </c>
      <c r="AX416" t="str">
        <f>""</f>
        <v/>
      </c>
      <c r="AY416" t="s">
        <v>84</v>
      </c>
      <c r="BA416" t="s">
        <v>81</v>
      </c>
      <c r="BB416" t="s">
        <v>79</v>
      </c>
      <c r="BD416" t="s">
        <v>79</v>
      </c>
      <c r="BG416" t="s">
        <v>82</v>
      </c>
      <c r="BH416">
        <v>12</v>
      </c>
      <c r="BI416" t="s">
        <v>524</v>
      </c>
      <c r="BJ416" s="2" t="s">
        <v>525</v>
      </c>
      <c r="BK416" t="str">
        <f>"CHINA TOWN, GARAPAN VILLAGE"</f>
        <v>CHINA TOWN, GARAPAN VILLAGE</v>
      </c>
      <c r="BL416" t="str">
        <f>""</f>
        <v/>
      </c>
      <c r="BM416" t="str">
        <f>"SAIPAN"</f>
        <v>SAIPAN</v>
      </c>
      <c r="BO416" t="s">
        <v>83</v>
      </c>
      <c r="BP416" s="4" t="str">
        <f>"96950"</f>
        <v>96950</v>
      </c>
      <c r="BQ416" t="s">
        <v>79</v>
      </c>
      <c r="BR416" t="str">
        <f>"49-9071.00"</f>
        <v>49-9071.00</v>
      </c>
      <c r="BS416" t="s">
        <v>146</v>
      </c>
      <c r="BT416" s="3">
        <v>9.19</v>
      </c>
      <c r="BU416" t="s">
        <v>80</v>
      </c>
      <c r="BV416" t="s">
        <v>90</v>
      </c>
      <c r="BW416" t="s">
        <v>92</v>
      </c>
      <c r="BZ416" s="1">
        <v>45107</v>
      </c>
    </row>
    <row r="417" spans="1:78" ht="15" customHeight="1" x14ac:dyDescent="0.25">
      <c r="A417" t="s">
        <v>526</v>
      </c>
      <c r="B417" t="s">
        <v>94</v>
      </c>
      <c r="C417" s="1">
        <v>44824</v>
      </c>
      <c r="D417" s="1">
        <v>44865</v>
      </c>
      <c r="H417" t="s">
        <v>78</v>
      </c>
      <c r="I417" t="str">
        <f>"Scragg"</f>
        <v>Scragg</v>
      </c>
      <c r="J417" t="str">
        <f>"Anthony"</f>
        <v>Anthony</v>
      </c>
      <c r="K417" t="str">
        <f>"Christopher"</f>
        <v>Christopher</v>
      </c>
      <c r="L417" t="str">
        <f>"VP/General Manager"</f>
        <v>VP/General Manager</v>
      </c>
      <c r="M417" t="str">
        <f>"WH-Door 2 Dotse Place, Beach Road"</f>
        <v>WH-Door 2 Dotse Place, Beach Road</v>
      </c>
      <c r="N417" t="str">
        <f>"PMB 101 BOX 10000, GARAPAN"</f>
        <v>PMB 101 BOX 10000, GARAPAN</v>
      </c>
      <c r="O417" t="str">
        <f>"SAIPAN"</f>
        <v>SAIPAN</v>
      </c>
      <c r="P417" t="str">
        <f t="shared" si="242"/>
        <v>MP</v>
      </c>
      <c r="Q417" s="4" t="str">
        <f>"96950"</f>
        <v>96950</v>
      </c>
      <c r="R417" t="str">
        <f t="shared" si="236"/>
        <v>UNITED STATES OF AMERICA</v>
      </c>
      <c r="S417" t="str">
        <f>""</f>
        <v/>
      </c>
      <c r="T417" s="5" t="str">
        <f>"16702355572"</f>
        <v>16702355572</v>
      </c>
      <c r="U417" t="str">
        <f>""</f>
        <v/>
      </c>
      <c r="V417" s="5" t="str">
        <f>""</f>
        <v/>
      </c>
      <c r="W417" t="str">
        <f>"jyoung.jwssaipan@pticom.com"</f>
        <v>jyoung.jwssaipan@pticom.com</v>
      </c>
      <c r="X417" t="str">
        <f>"JWS Air Conditioning and Refrigeration, Inc."</f>
        <v>JWS Air Conditioning and Refrigeration, Inc.</v>
      </c>
      <c r="Y417" t="str">
        <f>"N/A"</f>
        <v>N/A</v>
      </c>
      <c r="Z417" t="str">
        <f>"WH-Door 2 Dotse Place, Beach Road"</f>
        <v>WH-Door 2 Dotse Place, Beach Road</v>
      </c>
      <c r="AA417" t="str">
        <f>"PMB 101 Box 10000, Garapan"</f>
        <v>PMB 101 Box 10000, Garapan</v>
      </c>
      <c r="AB417" t="str">
        <f>"Saipan"</f>
        <v>Saipan</v>
      </c>
      <c r="AC417" t="str">
        <f t="shared" si="237"/>
        <v>MP</v>
      </c>
      <c r="AD417" t="str">
        <f>"96950"</f>
        <v>96950</v>
      </c>
      <c r="AE417" t="str">
        <f t="shared" si="238"/>
        <v>UNITED STATES OF AMERICA</v>
      </c>
      <c r="AF417" t="str">
        <f>""</f>
        <v/>
      </c>
      <c r="AG417" s="4" t="str">
        <f>"16702355572"</f>
        <v>16702355572</v>
      </c>
      <c r="AH417" t="str">
        <f>""</f>
        <v/>
      </c>
      <c r="AI417" t="str">
        <f>"23822"</f>
        <v>23822</v>
      </c>
      <c r="AJ417" t="s">
        <v>79</v>
      </c>
      <c r="AK417" t="s">
        <v>79</v>
      </c>
      <c r="AL417" t="s">
        <v>80</v>
      </c>
      <c r="AM417" t="s">
        <v>79</v>
      </c>
      <c r="AP417" t="str">
        <f>"A/C &amp; REFRIGERATION TECHNICIAN"</f>
        <v>A/C &amp; REFRIGERATION TECHNICIAN</v>
      </c>
      <c r="AQ417" t="str">
        <f>"49-9021.00"</f>
        <v>49-9021.00</v>
      </c>
      <c r="AR417" t="str">
        <f>"Heating, Air Conditioning, and Refrigeration Mechanics and Installers"</f>
        <v>Heating, Air Conditioning, and Refrigeration Mechanics and Installers</v>
      </c>
      <c r="AS417" t="str">
        <f>"General Manager"</f>
        <v>General Manager</v>
      </c>
      <c r="AT417" t="s">
        <v>79</v>
      </c>
      <c r="AU417" t="str">
        <f>""</f>
        <v/>
      </c>
      <c r="AV417" t="str">
        <f>""</f>
        <v/>
      </c>
      <c r="AW417" t="s">
        <v>79</v>
      </c>
      <c r="AX417" t="str">
        <f>""</f>
        <v/>
      </c>
      <c r="AY417" t="s">
        <v>84</v>
      </c>
      <c r="BA417" t="s">
        <v>80</v>
      </c>
      <c r="BB417" t="s">
        <v>79</v>
      </c>
      <c r="BD417" t="s">
        <v>79</v>
      </c>
      <c r="BG417" t="s">
        <v>82</v>
      </c>
      <c r="BH417">
        <v>24</v>
      </c>
      <c r="BI417" t="s">
        <v>228</v>
      </c>
      <c r="BJ417" t="s">
        <v>527</v>
      </c>
      <c r="BK417" t="str">
        <f>"WH-Door 2 Dotse Place, Beach Road"</f>
        <v>WH-Door 2 Dotse Place, Beach Road</v>
      </c>
      <c r="BL417" t="str">
        <f>"Garapan"</f>
        <v>Garapan</v>
      </c>
      <c r="BM417" t="str">
        <f>"Saipan"</f>
        <v>Saipan</v>
      </c>
      <c r="BO417" t="s">
        <v>83</v>
      </c>
      <c r="BP417" s="4" t="str">
        <f>"96950"</f>
        <v>96950</v>
      </c>
      <c r="BQ417" t="s">
        <v>79</v>
      </c>
      <c r="BR417" t="str">
        <f>"49-9021.00"</f>
        <v>49-9021.00</v>
      </c>
      <c r="BS417" t="s">
        <v>177</v>
      </c>
      <c r="BT417" s="3">
        <v>9.6999999999999993</v>
      </c>
      <c r="BU417" t="s">
        <v>80</v>
      </c>
      <c r="BV417" t="s">
        <v>90</v>
      </c>
      <c r="BW417" t="s">
        <v>92</v>
      </c>
      <c r="BZ417" s="1">
        <v>45107</v>
      </c>
    </row>
    <row r="418" spans="1:78" ht="15" customHeight="1" x14ac:dyDescent="0.25">
      <c r="A418" t="s">
        <v>528</v>
      </c>
      <c r="B418" t="s">
        <v>94</v>
      </c>
      <c r="C418" s="1">
        <v>44824</v>
      </c>
      <c r="D418" s="1">
        <v>44865</v>
      </c>
      <c r="H418" t="s">
        <v>78</v>
      </c>
      <c r="I418" t="str">
        <f>"POWER"</f>
        <v>POWER</v>
      </c>
      <c r="J418" t="str">
        <f>"DONALD"</f>
        <v>DONALD</v>
      </c>
      <c r="K418" t="str">
        <f>"JAMES"</f>
        <v>JAMES</v>
      </c>
      <c r="L418" t="str">
        <f>"VICE-PRESIDENT"</f>
        <v>VICE-PRESIDENT</v>
      </c>
      <c r="M418" t="str">
        <f>"10 Grand St. San Jose Village"</f>
        <v>10 Grand St. San Jose Village</v>
      </c>
      <c r="N418" t="str">
        <f>""</f>
        <v/>
      </c>
      <c r="O418" t="str">
        <f>"Tinian"</f>
        <v>Tinian</v>
      </c>
      <c r="P418" t="str">
        <f t="shared" si="242"/>
        <v>MP</v>
      </c>
      <c r="Q418" s="4" t="str">
        <f>"96952"</f>
        <v>96952</v>
      </c>
      <c r="R418" t="str">
        <f t="shared" si="236"/>
        <v>UNITED STATES OF AMERICA</v>
      </c>
      <c r="S418" t="str">
        <f>""</f>
        <v/>
      </c>
      <c r="T418" s="5" t="str">
        <f>"16704330422"</f>
        <v>16704330422</v>
      </c>
      <c r="U418" t="str">
        <f>""</f>
        <v/>
      </c>
      <c r="V418" s="5" t="str">
        <f>""</f>
        <v/>
      </c>
      <c r="W418" t="str">
        <f>"jlibut@hawaiianrock.com"</f>
        <v>jlibut@hawaiianrock.com</v>
      </c>
      <c r="X418" t="str">
        <f>"FPA Pacific Corp."</f>
        <v>FPA Pacific Corp.</v>
      </c>
      <c r="Y418" t="str">
        <f>""</f>
        <v/>
      </c>
      <c r="Z418" t="str">
        <f>"10 Grand St. San Jose Village"</f>
        <v>10 Grand St. San Jose Village</v>
      </c>
      <c r="AA418" t="str">
        <f>""</f>
        <v/>
      </c>
      <c r="AB418" t="str">
        <f>"Tinian"</f>
        <v>Tinian</v>
      </c>
      <c r="AC418" t="str">
        <f t="shared" ref="AC418:AC449" si="249">"MP"</f>
        <v>MP</v>
      </c>
      <c r="AD418" t="str">
        <f>"96952"</f>
        <v>96952</v>
      </c>
      <c r="AE418" t="str">
        <f t="shared" si="238"/>
        <v>UNITED STATES OF AMERICA</v>
      </c>
      <c r="AF418" t="str">
        <f>""</f>
        <v/>
      </c>
      <c r="AG418" s="4" t="str">
        <f>"16704330422"</f>
        <v>16704330422</v>
      </c>
      <c r="AH418" t="str">
        <f>""</f>
        <v/>
      </c>
      <c r="AI418" t="str">
        <f>"212312"</f>
        <v>212312</v>
      </c>
      <c r="AJ418" t="s">
        <v>79</v>
      </c>
      <c r="AK418" t="s">
        <v>79</v>
      </c>
      <c r="AL418" t="s">
        <v>80</v>
      </c>
      <c r="AM418" t="s">
        <v>79</v>
      </c>
      <c r="AP418" t="str">
        <f>"Accounting Clerk"</f>
        <v>Accounting Clerk</v>
      </c>
      <c r="AQ418" t="str">
        <f>"43-3031.00"</f>
        <v>43-3031.00</v>
      </c>
      <c r="AR418" t="str">
        <f>"Bookkeeping, Accounting, and Auditing Clerks"</f>
        <v>Bookkeeping, Accounting, and Auditing Clerks</v>
      </c>
      <c r="AS418" t="str">
        <f>"Accountant"</f>
        <v>Accountant</v>
      </c>
      <c r="AT418" t="s">
        <v>79</v>
      </c>
      <c r="AU418" t="str">
        <f>""</f>
        <v/>
      </c>
      <c r="AV418" t="str">
        <f>""</f>
        <v/>
      </c>
      <c r="AW418" t="s">
        <v>79</v>
      </c>
      <c r="AX418" t="str">
        <f>""</f>
        <v/>
      </c>
      <c r="AY418" t="s">
        <v>84</v>
      </c>
      <c r="BA418" t="s">
        <v>80</v>
      </c>
      <c r="BB418" t="s">
        <v>79</v>
      </c>
      <c r="BD418" t="s">
        <v>79</v>
      </c>
      <c r="BG418" t="s">
        <v>82</v>
      </c>
      <c r="BH418">
        <v>12</v>
      </c>
      <c r="BI418" t="s">
        <v>529</v>
      </c>
      <c r="BJ418" t="s">
        <v>530</v>
      </c>
      <c r="BK418" t="str">
        <f>"10 Grand St. San Jose Village"</f>
        <v>10 Grand St. San Jose Village</v>
      </c>
      <c r="BL418" t="str">
        <f>""</f>
        <v/>
      </c>
      <c r="BM418" t="str">
        <f>"Tinian"</f>
        <v>Tinian</v>
      </c>
      <c r="BO418" t="s">
        <v>83</v>
      </c>
      <c r="BP418" s="4" t="str">
        <f>"96952"</f>
        <v>96952</v>
      </c>
      <c r="BQ418" t="s">
        <v>79</v>
      </c>
      <c r="BR418" t="str">
        <f>"43-3031.00"</f>
        <v>43-3031.00</v>
      </c>
      <c r="BS418" t="s">
        <v>142</v>
      </c>
      <c r="BT418" s="3">
        <v>11.21</v>
      </c>
      <c r="BU418" t="s">
        <v>80</v>
      </c>
      <c r="BV418" t="s">
        <v>90</v>
      </c>
      <c r="BW418" t="s">
        <v>92</v>
      </c>
      <c r="BZ418" s="1">
        <v>45107</v>
      </c>
    </row>
    <row r="419" spans="1:78" ht="15" customHeight="1" x14ac:dyDescent="0.25">
      <c r="A419" t="s">
        <v>531</v>
      </c>
      <c r="B419" t="s">
        <v>94</v>
      </c>
      <c r="C419" s="1">
        <v>44824</v>
      </c>
      <c r="D419" s="1">
        <v>44865</v>
      </c>
      <c r="H419" t="s">
        <v>78</v>
      </c>
      <c r="I419" t="str">
        <f>"CHUNG "</f>
        <v xml:space="preserve">CHUNG </v>
      </c>
      <c r="J419" t="str">
        <f>"WOON"</f>
        <v>WOON</v>
      </c>
      <c r="K419" t="str">
        <f>"SOO"</f>
        <v>SOO</v>
      </c>
      <c r="L419" t="str">
        <f>"VICE PRESIDENT"</f>
        <v>VICE PRESIDENT</v>
      </c>
      <c r="M419" t="str">
        <f>"201 G &amp; G APARTMENT GARAPAN"</f>
        <v>201 G &amp; G APARTMENT GARAPAN</v>
      </c>
      <c r="N419" t="str">
        <f>""</f>
        <v/>
      </c>
      <c r="O419" t="str">
        <f>"Saipan"</f>
        <v>Saipan</v>
      </c>
      <c r="P419" t="str">
        <f t="shared" si="242"/>
        <v>MP</v>
      </c>
      <c r="Q419" s="4" t="str">
        <f t="shared" ref="Q419:Q433" si="250">"96950"</f>
        <v>96950</v>
      </c>
      <c r="R419" t="str">
        <f t="shared" si="236"/>
        <v>UNITED STATES OF AMERICA</v>
      </c>
      <c r="S419" t="str">
        <f>""</f>
        <v/>
      </c>
      <c r="T419" s="5" t="str">
        <f>"16702338040"</f>
        <v>16702338040</v>
      </c>
      <c r="U419" t="str">
        <f>""</f>
        <v/>
      </c>
      <c r="V419" s="5" t="str">
        <f>""</f>
        <v/>
      </c>
      <c r="W419" t="str">
        <f>"youngckim@gmail.com"</f>
        <v>youngckim@gmail.com</v>
      </c>
      <c r="X419" t="str">
        <f>"NURY CORPORATION"</f>
        <v>NURY CORPORATION</v>
      </c>
      <c r="Y419" t="str">
        <f>""</f>
        <v/>
      </c>
      <c r="Z419" t="str">
        <f>"201 G &amp; G APARTMENT GARAPAN"</f>
        <v>201 G &amp; G APARTMENT GARAPAN</v>
      </c>
      <c r="AA419" t="str">
        <f>""</f>
        <v/>
      </c>
      <c r="AB419" t="str">
        <f>"Saipan"</f>
        <v>Saipan</v>
      </c>
      <c r="AC419" t="str">
        <f t="shared" si="249"/>
        <v>MP</v>
      </c>
      <c r="AD419" t="str">
        <f t="shared" ref="AD419:AD433" si="251">"96950"</f>
        <v>96950</v>
      </c>
      <c r="AE419" t="str">
        <f t="shared" si="238"/>
        <v>UNITED STATES OF AMERICA</v>
      </c>
      <c r="AF419" t="str">
        <f>""</f>
        <v/>
      </c>
      <c r="AG419" s="4" t="str">
        <f>"16702338040"</f>
        <v>16702338040</v>
      </c>
      <c r="AH419" t="str">
        <f>""</f>
        <v/>
      </c>
      <c r="AI419" t="str">
        <f>"61162"</f>
        <v>61162</v>
      </c>
      <c r="AJ419" t="s">
        <v>79</v>
      </c>
      <c r="AK419" t="s">
        <v>79</v>
      </c>
      <c r="AL419" t="s">
        <v>80</v>
      </c>
      <c r="AM419" t="s">
        <v>79</v>
      </c>
      <c r="AP419" t="str">
        <f>"SCUBA DIVING INSTRUCTOR"</f>
        <v>SCUBA DIVING INSTRUCTOR</v>
      </c>
      <c r="AQ419" t="str">
        <f>"25-3021.00"</f>
        <v>25-3021.00</v>
      </c>
      <c r="AR419" t="str">
        <f>"Self-Enrichment Teachers"</f>
        <v>Self-Enrichment Teachers</v>
      </c>
      <c r="AS419" t="str">
        <f>"PRESIDENT"</f>
        <v>PRESIDENT</v>
      </c>
      <c r="AT419" t="s">
        <v>79</v>
      </c>
      <c r="AU419" t="str">
        <f>""</f>
        <v/>
      </c>
      <c r="AV419" t="str">
        <f>""</f>
        <v/>
      </c>
      <c r="AW419" t="s">
        <v>79</v>
      </c>
      <c r="AX419" t="str">
        <f>""</f>
        <v/>
      </c>
      <c r="AY419" t="s">
        <v>84</v>
      </c>
      <c r="BA419" t="s">
        <v>80</v>
      </c>
      <c r="BB419" t="s">
        <v>79</v>
      </c>
      <c r="BD419" t="s">
        <v>82</v>
      </c>
      <c r="BE419">
        <v>3</v>
      </c>
      <c r="BF419" t="s">
        <v>532</v>
      </c>
      <c r="BG419" t="s">
        <v>82</v>
      </c>
      <c r="BH419">
        <v>24</v>
      </c>
      <c r="BI419" t="s">
        <v>533</v>
      </c>
      <c r="BJ419" t="s">
        <v>534</v>
      </c>
      <c r="BK419" t="str">
        <f>"MANGO RESORT KOBLERVILLE SAIPAN"</f>
        <v>MANGO RESORT KOBLERVILLE SAIPAN</v>
      </c>
      <c r="BL419" t="str">
        <f>""</f>
        <v/>
      </c>
      <c r="BM419" t="str">
        <f>"Saipan"</f>
        <v>Saipan</v>
      </c>
      <c r="BO419" t="s">
        <v>83</v>
      </c>
      <c r="BP419" s="4" t="str">
        <f t="shared" ref="BP419:BP433" si="252">"96950"</f>
        <v>96950</v>
      </c>
      <c r="BQ419" t="s">
        <v>79</v>
      </c>
      <c r="BR419" t="str">
        <f>"25-3021.00"</f>
        <v>25-3021.00</v>
      </c>
      <c r="BS419" t="s">
        <v>535</v>
      </c>
      <c r="BT419" s="3">
        <v>23.72</v>
      </c>
      <c r="BU419" t="s">
        <v>80</v>
      </c>
      <c r="BV419" t="s">
        <v>90</v>
      </c>
      <c r="BW419" t="s">
        <v>92</v>
      </c>
      <c r="BZ419" s="1">
        <v>45107</v>
      </c>
    </row>
    <row r="420" spans="1:78" ht="15" customHeight="1" x14ac:dyDescent="0.25">
      <c r="A420" t="s">
        <v>536</v>
      </c>
      <c r="B420" t="s">
        <v>94</v>
      </c>
      <c r="C420" s="1">
        <v>44824</v>
      </c>
      <c r="D420" s="1">
        <v>44865</v>
      </c>
      <c r="H420" t="s">
        <v>78</v>
      </c>
      <c r="I420" t="str">
        <f>"LESCANO"</f>
        <v>LESCANO</v>
      </c>
      <c r="J420" t="str">
        <f>"JOSEPH"</f>
        <v>JOSEPH</v>
      </c>
      <c r="K420" t="str">
        <f>"LANDICHO"</f>
        <v>LANDICHO</v>
      </c>
      <c r="L420" t="str">
        <f>"GENERAL MANAGER / OWNER"</f>
        <v>GENERAL MANAGER / OWNER</v>
      </c>
      <c r="M420" t="str">
        <f>"UNIT 101 MANGO CITY BLDG. MIDDLE ROAD"</f>
        <v>UNIT 101 MANGO CITY BLDG. MIDDLE ROAD</v>
      </c>
      <c r="N420" t="str">
        <f>"PO BOX 505196"</f>
        <v>PO BOX 505196</v>
      </c>
      <c r="O420" t="str">
        <f>"SAIPAN"</f>
        <v>SAIPAN</v>
      </c>
      <c r="P420" t="str">
        <f t="shared" si="242"/>
        <v>MP</v>
      </c>
      <c r="Q420" s="4" t="str">
        <f t="shared" si="250"/>
        <v>96950</v>
      </c>
      <c r="R420" t="str">
        <f t="shared" si="236"/>
        <v>UNITED STATES OF AMERICA</v>
      </c>
      <c r="S420" t="str">
        <f>"N/A"</f>
        <v>N/A</v>
      </c>
      <c r="T420" s="5" t="str">
        <f>"16702330240"</f>
        <v>16702330240</v>
      </c>
      <c r="U420" t="str">
        <f>""</f>
        <v/>
      </c>
      <c r="V420" s="5" t="str">
        <f>""</f>
        <v/>
      </c>
      <c r="W420" t="str">
        <f>"medquestsaipan@gmail.com"</f>
        <v>medquestsaipan@gmail.com</v>
      </c>
      <c r="X420" t="str">
        <f>"JOSEPH L. LESCANO"</f>
        <v>JOSEPH L. LESCANO</v>
      </c>
      <c r="Y420" t="str">
        <f>"MEDQUEST MEDICAL SUPPLY"</f>
        <v>MEDQUEST MEDICAL SUPPLY</v>
      </c>
      <c r="Z420" t="str">
        <f>"UNIT 101 MANGO CITY BLDG. MIDDLE ROAD"</f>
        <v>UNIT 101 MANGO CITY BLDG. MIDDLE ROAD</v>
      </c>
      <c r="AA420" t="str">
        <f>"PO BOX 505196"</f>
        <v>PO BOX 505196</v>
      </c>
      <c r="AB420" t="str">
        <f>"SAIPAN"</f>
        <v>SAIPAN</v>
      </c>
      <c r="AC420" t="str">
        <f t="shared" si="249"/>
        <v>MP</v>
      </c>
      <c r="AD420" t="str">
        <f t="shared" si="251"/>
        <v>96950</v>
      </c>
      <c r="AE420" t="str">
        <f t="shared" si="238"/>
        <v>UNITED STATES OF AMERICA</v>
      </c>
      <c r="AF420" t="str">
        <f>"N/A"</f>
        <v>N/A</v>
      </c>
      <c r="AG420" s="4" t="str">
        <f>"16702330240"</f>
        <v>16702330240</v>
      </c>
      <c r="AH420" t="str">
        <f>""</f>
        <v/>
      </c>
      <c r="AI420" t="str">
        <f>"44619"</f>
        <v>44619</v>
      </c>
      <c r="AJ420" t="s">
        <v>79</v>
      </c>
      <c r="AK420" t="s">
        <v>79</v>
      </c>
      <c r="AL420" t="s">
        <v>80</v>
      </c>
      <c r="AM420" t="s">
        <v>79</v>
      </c>
      <c r="AP420" t="str">
        <f>"MEDICAL SALES REPRESENTATIVE"</f>
        <v>MEDICAL SALES REPRESENTATIVE</v>
      </c>
      <c r="AQ420" t="str">
        <f>"41-9099.00"</f>
        <v>41-9099.00</v>
      </c>
      <c r="AR420" t="str">
        <f>"Sales and Related Workers, All Other"</f>
        <v>Sales and Related Workers, All Other</v>
      </c>
      <c r="AS420" t="str">
        <f>"GENERAL MANAGER / OWNER"</f>
        <v>GENERAL MANAGER / OWNER</v>
      </c>
      <c r="AT420" t="s">
        <v>79</v>
      </c>
      <c r="AU420" t="str">
        <f>""</f>
        <v/>
      </c>
      <c r="AV420" t="str">
        <f>""</f>
        <v/>
      </c>
      <c r="AW420" t="s">
        <v>82</v>
      </c>
      <c r="AX420" t="str">
        <f>"THE TRAVEL IS REQUIRED AS NEEDED. IF THE CUSTOMER IS LOCATED IN TINIAN AND ROTA."</f>
        <v>THE TRAVEL IS REQUIRED AS NEEDED. IF THE CUSTOMER IS LOCATED IN TINIAN AND ROTA.</v>
      </c>
      <c r="AY420" t="s">
        <v>84</v>
      </c>
      <c r="BA420" t="s">
        <v>80</v>
      </c>
      <c r="BB420" t="s">
        <v>79</v>
      </c>
      <c r="BD420" t="s">
        <v>82</v>
      </c>
      <c r="BE420">
        <v>2</v>
      </c>
      <c r="BF420" t="s">
        <v>537</v>
      </c>
      <c r="BG420" t="s">
        <v>82</v>
      </c>
      <c r="BH420">
        <v>12</v>
      </c>
      <c r="BI420" t="s">
        <v>538</v>
      </c>
      <c r="BJ420" s="2" t="s">
        <v>539</v>
      </c>
      <c r="BK420" t="str">
        <f>"UNIT 101 MANGO CITY BLDG. MIDDLE ROAD"</f>
        <v>UNIT 101 MANGO CITY BLDG. MIDDLE ROAD</v>
      </c>
      <c r="BL420" t="str">
        <f>"PO BOX 505196"</f>
        <v>PO BOX 505196</v>
      </c>
      <c r="BM420" t="str">
        <f>"SAIPAN"</f>
        <v>SAIPAN</v>
      </c>
      <c r="BO420" t="s">
        <v>83</v>
      </c>
      <c r="BP420" s="4" t="str">
        <f t="shared" si="252"/>
        <v>96950</v>
      </c>
      <c r="BQ420" t="s">
        <v>79</v>
      </c>
      <c r="BR420" t="str">
        <f>"41-4011.00"</f>
        <v>41-4011.00</v>
      </c>
      <c r="BS420" t="s">
        <v>540</v>
      </c>
      <c r="BT420" s="3">
        <v>10.99</v>
      </c>
      <c r="BU420" t="s">
        <v>80</v>
      </c>
      <c r="BV420" t="s">
        <v>90</v>
      </c>
      <c r="BW420" t="s">
        <v>92</v>
      </c>
      <c r="BZ420" s="1">
        <v>45107</v>
      </c>
    </row>
    <row r="421" spans="1:78" ht="15" customHeight="1" x14ac:dyDescent="0.25">
      <c r="A421" t="s">
        <v>477</v>
      </c>
      <c r="B421" t="s">
        <v>94</v>
      </c>
      <c r="C421" s="1">
        <v>44823</v>
      </c>
      <c r="D421" s="1">
        <v>44865</v>
      </c>
      <c r="H421" t="s">
        <v>78</v>
      </c>
      <c r="I421" t="str">
        <f>"VAN DER MAAS"</f>
        <v>VAN DER MAAS</v>
      </c>
      <c r="J421" t="str">
        <f>"ERICK"</f>
        <v>ERICK</v>
      </c>
      <c r="K421" t="str">
        <f>"A."</f>
        <v>A.</v>
      </c>
      <c r="L421" t="str">
        <f>"PRESIDENT"</f>
        <v>PRESIDENT</v>
      </c>
      <c r="M421" t="str">
        <f>"PMB 936 BOX 10000"</f>
        <v>PMB 936 BOX 10000</v>
      </c>
      <c r="N421" t="str">
        <f>"NAURU LOOP SUSUPE VILLAGE"</f>
        <v>NAURU LOOP SUSUPE VILLAGE</v>
      </c>
      <c r="O421" t="str">
        <f>"SAIPAN"</f>
        <v>SAIPAN</v>
      </c>
      <c r="P421" t="str">
        <f t="shared" si="242"/>
        <v>MP</v>
      </c>
      <c r="Q421" s="4" t="str">
        <f t="shared" si="250"/>
        <v>96950</v>
      </c>
      <c r="R421" t="str">
        <f t="shared" si="236"/>
        <v>UNITED STATES OF AMERICA</v>
      </c>
      <c r="S421" t="str">
        <f>""</f>
        <v/>
      </c>
      <c r="T421" s="5" t="str">
        <f>"16702346647"</f>
        <v>16702346647</v>
      </c>
      <c r="U421" t="str">
        <f>""</f>
        <v/>
      </c>
      <c r="V421" s="5" t="str">
        <f>""</f>
        <v/>
      </c>
      <c r="W421" t="str">
        <f>"nmissaipancnmi@gmail.com"</f>
        <v>nmissaipancnmi@gmail.com</v>
      </c>
      <c r="X421" t="str">
        <f>"NORTHERN MARIANAS INTERNATIONAL SCHOOL"</f>
        <v>NORTHERN MARIANAS INTERNATIONAL SCHOOL</v>
      </c>
      <c r="Y421" t="str">
        <f>""</f>
        <v/>
      </c>
      <c r="Z421" t="str">
        <f>"PMB 936 BOX 10000"</f>
        <v>PMB 936 BOX 10000</v>
      </c>
      <c r="AA421" t="str">
        <f>"NAURU LOOP SUSUPE VILLAGE"</f>
        <v>NAURU LOOP SUSUPE VILLAGE</v>
      </c>
      <c r="AB421" t="str">
        <f>"SAIPAN"</f>
        <v>SAIPAN</v>
      </c>
      <c r="AC421" t="str">
        <f t="shared" si="249"/>
        <v>MP</v>
      </c>
      <c r="AD421" t="str">
        <f t="shared" si="251"/>
        <v>96950</v>
      </c>
      <c r="AE421" t="str">
        <f t="shared" si="238"/>
        <v>UNITED STATES OF AMERICA</v>
      </c>
      <c r="AF421" t="str">
        <f>""</f>
        <v/>
      </c>
      <c r="AG421" s="4" t="str">
        <f>"16702346647"</f>
        <v>16702346647</v>
      </c>
      <c r="AH421" t="str">
        <f>""</f>
        <v/>
      </c>
      <c r="AI421" t="str">
        <f>"624410"</f>
        <v>624410</v>
      </c>
      <c r="AJ421" t="s">
        <v>79</v>
      </c>
      <c r="AK421" t="s">
        <v>79</v>
      </c>
      <c r="AL421" t="s">
        <v>80</v>
      </c>
      <c r="AM421" t="s">
        <v>79</v>
      </c>
      <c r="AP421" t="str">
        <f>"TEACHER ASSISTANTS"</f>
        <v>TEACHER ASSISTANTS</v>
      </c>
      <c r="AQ421" t="str">
        <f>"25-9042.00"</f>
        <v>25-9042.00</v>
      </c>
      <c r="AR421" t="str">
        <f>"Teaching Assistants, Preschool, Elementary, Middle, and Secondary School, Except Special Education"</f>
        <v>Teaching Assistants, Preschool, Elementary, Middle, and Secondary School, Except Special Education</v>
      </c>
      <c r="AS421" t="str">
        <f>"TEACHER ASSISTANTS"</f>
        <v>TEACHER ASSISTANTS</v>
      </c>
      <c r="AT421" t="s">
        <v>79</v>
      </c>
      <c r="AU421" t="str">
        <f>""</f>
        <v/>
      </c>
      <c r="AV421" t="str">
        <f>""</f>
        <v/>
      </c>
      <c r="AW421" t="s">
        <v>79</v>
      </c>
      <c r="AX421" t="str">
        <f>""</f>
        <v/>
      </c>
      <c r="AY421" t="s">
        <v>124</v>
      </c>
      <c r="BA421" t="s">
        <v>478</v>
      </c>
      <c r="BB421" t="s">
        <v>79</v>
      </c>
      <c r="BD421" t="s">
        <v>82</v>
      </c>
      <c r="BE421">
        <v>6</v>
      </c>
      <c r="BF421" t="s">
        <v>479</v>
      </c>
      <c r="BG421" t="s">
        <v>82</v>
      </c>
      <c r="BH421">
        <v>12</v>
      </c>
      <c r="BI421" t="s">
        <v>480</v>
      </c>
      <c r="BJ421" t="s">
        <v>481</v>
      </c>
      <c r="BK421" t="str">
        <f>"GROUND FLOOR MARIANAS BUSINESS PLAZA NAURU LOOP"</f>
        <v>GROUND FLOOR MARIANAS BUSINESS PLAZA NAURU LOOP</v>
      </c>
      <c r="BL421" t="str">
        <f>"PMB 936 BOX 10000"</f>
        <v>PMB 936 BOX 10000</v>
      </c>
      <c r="BM421" t="str">
        <f>"SAIPAN"</f>
        <v>SAIPAN</v>
      </c>
      <c r="BO421" t="s">
        <v>83</v>
      </c>
      <c r="BP421" s="4" t="str">
        <f t="shared" si="252"/>
        <v>96950</v>
      </c>
      <c r="BQ421" t="s">
        <v>79</v>
      </c>
      <c r="BR421" t="str">
        <f>"25-9043.00"</f>
        <v>25-9043.00</v>
      </c>
      <c r="BS421" t="s">
        <v>482</v>
      </c>
      <c r="BT421" s="3">
        <v>17.52</v>
      </c>
      <c r="BU421" t="s">
        <v>80</v>
      </c>
      <c r="BV421" t="s">
        <v>90</v>
      </c>
      <c r="BW421" t="s">
        <v>92</v>
      </c>
      <c r="BZ421" s="1">
        <v>45107</v>
      </c>
    </row>
    <row r="422" spans="1:78" ht="15" customHeight="1" x14ac:dyDescent="0.25">
      <c r="A422" t="s">
        <v>483</v>
      </c>
      <c r="B422" t="s">
        <v>94</v>
      </c>
      <c r="C422" s="1">
        <v>44823</v>
      </c>
      <c r="D422" s="1">
        <v>44865</v>
      </c>
      <c r="H422" t="s">
        <v>78</v>
      </c>
      <c r="I422" t="str">
        <f>"PO"</f>
        <v>PO</v>
      </c>
      <c r="J422" t="str">
        <f>"EMMANUEL"</f>
        <v>EMMANUEL</v>
      </c>
      <c r="K422" t="str">
        <f>"LIM"</f>
        <v>LIM</v>
      </c>
      <c r="L422" t="str">
        <f>"SECRETARY"</f>
        <v>SECRETARY</v>
      </c>
      <c r="M422" t="str">
        <f>"KANNAT TABLA DRIVE CORNER LONG LANE"</f>
        <v>KANNAT TABLA DRIVE CORNER LONG LANE</v>
      </c>
      <c r="N422" t="str">
        <f>""</f>
        <v/>
      </c>
      <c r="O422" t="str">
        <f>"SAIPAN"</f>
        <v>SAIPAN</v>
      </c>
      <c r="P422" t="str">
        <f t="shared" si="242"/>
        <v>MP</v>
      </c>
      <c r="Q422" s="4" t="str">
        <f t="shared" si="250"/>
        <v>96950</v>
      </c>
      <c r="R422" t="str">
        <f t="shared" si="236"/>
        <v>UNITED STATES OF AMERICA</v>
      </c>
      <c r="S422" t="str">
        <f>""</f>
        <v/>
      </c>
      <c r="T422" s="5" t="str">
        <f>"16702350064"</f>
        <v>16702350064</v>
      </c>
      <c r="U422" t="str">
        <f>""</f>
        <v/>
      </c>
      <c r="V422" s="5" t="str">
        <f>""</f>
        <v/>
      </c>
      <c r="W422" t="str">
        <f>"primtek.construct@yahoo.com"</f>
        <v>primtek.construct@yahoo.com</v>
      </c>
      <c r="X422" t="str">
        <f>"PRIMTEK INCORPORATED"</f>
        <v>PRIMTEK INCORPORATED</v>
      </c>
      <c r="Y422" t="str">
        <f>"PRIMTEK CONSTRUCTION"</f>
        <v>PRIMTEK CONSTRUCTION</v>
      </c>
      <c r="Z422" t="str">
        <f>"KANNAT TABLA DRIVE CORNER LONG LANE"</f>
        <v>KANNAT TABLA DRIVE CORNER LONG LANE</v>
      </c>
      <c r="AA422" t="str">
        <f>""</f>
        <v/>
      </c>
      <c r="AB422" t="str">
        <f>"SAIPAN"</f>
        <v>SAIPAN</v>
      </c>
      <c r="AC422" t="str">
        <f t="shared" si="249"/>
        <v>MP</v>
      </c>
      <c r="AD422" t="str">
        <f t="shared" si="251"/>
        <v>96950</v>
      </c>
      <c r="AE422" t="str">
        <f t="shared" si="238"/>
        <v>UNITED STATES OF AMERICA</v>
      </c>
      <c r="AF422" t="str">
        <f>""</f>
        <v/>
      </c>
      <c r="AG422" s="4" t="str">
        <f>"16702350064"</f>
        <v>16702350064</v>
      </c>
      <c r="AH422" t="str">
        <f>""</f>
        <v/>
      </c>
      <c r="AI422" t="str">
        <f>"23622"</f>
        <v>23622</v>
      </c>
      <c r="AJ422" t="s">
        <v>79</v>
      </c>
      <c r="AK422" t="s">
        <v>79</v>
      </c>
      <c r="AL422" t="s">
        <v>80</v>
      </c>
      <c r="AM422" t="s">
        <v>79</v>
      </c>
      <c r="AP422" t="str">
        <f>"Maintenance Repairer"</f>
        <v>Maintenance Repairer</v>
      </c>
      <c r="AQ422" t="str">
        <f>"49-9071.00"</f>
        <v>49-9071.00</v>
      </c>
      <c r="AR422" t="str">
        <f>"Maintenance and Repair Workers, General"</f>
        <v>Maintenance and Repair Workers, General</v>
      </c>
      <c r="AS422" t="str">
        <f>"Civil Engineering Technician"</f>
        <v>Civil Engineering Technician</v>
      </c>
      <c r="AT422" t="s">
        <v>79</v>
      </c>
      <c r="AU422" t="str">
        <f>""</f>
        <v/>
      </c>
      <c r="AV422" t="str">
        <f>""</f>
        <v/>
      </c>
      <c r="AW422" t="s">
        <v>79</v>
      </c>
      <c r="AX422" t="str">
        <f>""</f>
        <v/>
      </c>
      <c r="AY422" t="s">
        <v>84</v>
      </c>
      <c r="BA422" t="s">
        <v>80</v>
      </c>
      <c r="BB422" t="s">
        <v>79</v>
      </c>
      <c r="BD422" t="s">
        <v>79</v>
      </c>
      <c r="BG422" t="s">
        <v>82</v>
      </c>
      <c r="BH422">
        <v>24</v>
      </c>
      <c r="BI422" t="s">
        <v>484</v>
      </c>
      <c r="BJ422" t="s">
        <v>485</v>
      </c>
      <c r="BK422" t="str">
        <f>"KANNAT TABLA DRIVE CORNER LONG LANE"</f>
        <v>KANNAT TABLA DRIVE CORNER LONG LANE</v>
      </c>
      <c r="BL422" t="str">
        <f>""</f>
        <v/>
      </c>
      <c r="BM422" t="str">
        <f>"SAIPAN"</f>
        <v>SAIPAN</v>
      </c>
      <c r="BO422" t="s">
        <v>83</v>
      </c>
      <c r="BP422" s="4" t="str">
        <f t="shared" si="252"/>
        <v>96950</v>
      </c>
      <c r="BQ422" t="s">
        <v>79</v>
      </c>
      <c r="BR422" t="str">
        <f>"49-9071.00"</f>
        <v>49-9071.00</v>
      </c>
      <c r="BS422" t="s">
        <v>146</v>
      </c>
      <c r="BT422" s="3">
        <v>9.19</v>
      </c>
      <c r="BU422" t="s">
        <v>80</v>
      </c>
      <c r="BV422" t="s">
        <v>90</v>
      </c>
      <c r="BW422" t="s">
        <v>92</v>
      </c>
      <c r="BZ422" s="1">
        <v>45107</v>
      </c>
    </row>
    <row r="423" spans="1:78" ht="15" customHeight="1" x14ac:dyDescent="0.25">
      <c r="A423" t="s">
        <v>486</v>
      </c>
      <c r="B423" t="s">
        <v>94</v>
      </c>
      <c r="C423" s="1">
        <v>44823</v>
      </c>
      <c r="D423" s="1">
        <v>44865</v>
      </c>
      <c r="H423" t="s">
        <v>78</v>
      </c>
      <c r="I423" t="str">
        <f>"PO"</f>
        <v>PO</v>
      </c>
      <c r="J423" t="str">
        <f>"EMMANUEL"</f>
        <v>EMMANUEL</v>
      </c>
      <c r="K423" t="str">
        <f>"LIM"</f>
        <v>LIM</v>
      </c>
      <c r="L423" t="str">
        <f>"SECRETARY"</f>
        <v>SECRETARY</v>
      </c>
      <c r="M423" t="str">
        <f>"KANNAT TABLA DRIVE CORNER LONG LANE"</f>
        <v>KANNAT TABLA DRIVE CORNER LONG LANE</v>
      </c>
      <c r="N423" t="str">
        <f>""</f>
        <v/>
      </c>
      <c r="O423" t="str">
        <f>"SAIPAN"</f>
        <v>SAIPAN</v>
      </c>
      <c r="P423" t="str">
        <f t="shared" si="242"/>
        <v>MP</v>
      </c>
      <c r="Q423" s="4" t="str">
        <f t="shared" si="250"/>
        <v>96950</v>
      </c>
      <c r="R423" t="str">
        <f t="shared" si="236"/>
        <v>UNITED STATES OF AMERICA</v>
      </c>
      <c r="S423" t="str">
        <f>""</f>
        <v/>
      </c>
      <c r="T423" s="5" t="str">
        <f>"16702350064"</f>
        <v>16702350064</v>
      </c>
      <c r="U423" t="str">
        <f>""</f>
        <v/>
      </c>
      <c r="V423" s="5" t="str">
        <f>""</f>
        <v/>
      </c>
      <c r="W423" t="str">
        <f>"primtek.construct@yahoo.com"</f>
        <v>primtek.construct@yahoo.com</v>
      </c>
      <c r="X423" t="str">
        <f>"PRIMTEK INCORPORATED"</f>
        <v>PRIMTEK INCORPORATED</v>
      </c>
      <c r="Y423" t="str">
        <f>"PRIMTEK CONSTRUCTION"</f>
        <v>PRIMTEK CONSTRUCTION</v>
      </c>
      <c r="Z423" t="str">
        <f>"KANNAT TABLA DRIVE CORNER LONG LANE"</f>
        <v>KANNAT TABLA DRIVE CORNER LONG LANE</v>
      </c>
      <c r="AA423" t="str">
        <f>""</f>
        <v/>
      </c>
      <c r="AB423" t="str">
        <f>"SAIPAN"</f>
        <v>SAIPAN</v>
      </c>
      <c r="AC423" t="str">
        <f t="shared" si="249"/>
        <v>MP</v>
      </c>
      <c r="AD423" t="str">
        <f t="shared" si="251"/>
        <v>96950</v>
      </c>
      <c r="AE423" t="str">
        <f t="shared" si="238"/>
        <v>UNITED STATES OF AMERICA</v>
      </c>
      <c r="AF423" t="str">
        <f>""</f>
        <v/>
      </c>
      <c r="AG423" s="4" t="str">
        <f>"16702350064"</f>
        <v>16702350064</v>
      </c>
      <c r="AH423" t="str">
        <f>""</f>
        <v/>
      </c>
      <c r="AI423" t="str">
        <f>"236220"</f>
        <v>236220</v>
      </c>
      <c r="AJ423" t="s">
        <v>79</v>
      </c>
      <c r="AK423" t="s">
        <v>79</v>
      </c>
      <c r="AL423" t="s">
        <v>80</v>
      </c>
      <c r="AM423" t="s">
        <v>79</v>
      </c>
      <c r="AP423" t="str">
        <f>"CIVIL ENGINEERING TECHNICIAN"</f>
        <v>CIVIL ENGINEERING TECHNICIAN</v>
      </c>
      <c r="AQ423" t="str">
        <f>"17-3022.00"</f>
        <v>17-3022.00</v>
      </c>
      <c r="AR423" t="str">
        <f>"Civil Engineering Technologists and Technicians"</f>
        <v>Civil Engineering Technologists and Technicians</v>
      </c>
      <c r="AS423" t="str">
        <f>"OPERATIONS MANAGER"</f>
        <v>OPERATIONS MANAGER</v>
      </c>
      <c r="AT423" t="s">
        <v>82</v>
      </c>
      <c r="AU423" t="str">
        <f>"4"</f>
        <v>4</v>
      </c>
      <c r="AV423" t="str">
        <f>"Subordinate"</f>
        <v>Subordinate</v>
      </c>
      <c r="AW423" t="s">
        <v>79</v>
      </c>
      <c r="AX423" t="str">
        <f>""</f>
        <v/>
      </c>
      <c r="AY423" t="s">
        <v>124</v>
      </c>
      <c r="BA423" t="s">
        <v>487</v>
      </c>
      <c r="BB423" t="s">
        <v>79</v>
      </c>
      <c r="BD423" t="s">
        <v>79</v>
      </c>
      <c r="BG423" t="s">
        <v>82</v>
      </c>
      <c r="BH423">
        <v>24</v>
      </c>
      <c r="BI423" t="s">
        <v>488</v>
      </c>
      <c r="BJ423" t="s">
        <v>489</v>
      </c>
      <c r="BK423" t="str">
        <f>"KANNAT TABLA DRIVE CORNER LONG LANE"</f>
        <v>KANNAT TABLA DRIVE CORNER LONG LANE</v>
      </c>
      <c r="BL423" t="str">
        <f>""</f>
        <v/>
      </c>
      <c r="BM423" t="str">
        <f>"SAIPAN"</f>
        <v>SAIPAN</v>
      </c>
      <c r="BO423" t="s">
        <v>83</v>
      </c>
      <c r="BP423" s="4" t="str">
        <f t="shared" si="252"/>
        <v>96950</v>
      </c>
      <c r="BQ423" t="s">
        <v>79</v>
      </c>
      <c r="BR423" t="str">
        <f>"17-3022.00"</f>
        <v>17-3022.00</v>
      </c>
      <c r="BS423" t="s">
        <v>490</v>
      </c>
      <c r="BT423" s="3">
        <v>16.75</v>
      </c>
      <c r="BU423" t="s">
        <v>80</v>
      </c>
      <c r="BV423" t="s">
        <v>90</v>
      </c>
      <c r="BW423" t="s">
        <v>92</v>
      </c>
      <c r="BZ423" s="1">
        <v>45107</v>
      </c>
    </row>
    <row r="424" spans="1:78" ht="15" customHeight="1" x14ac:dyDescent="0.25">
      <c r="A424" t="s">
        <v>491</v>
      </c>
      <c r="B424" t="s">
        <v>94</v>
      </c>
      <c r="C424" s="1">
        <v>44823</v>
      </c>
      <c r="D424" s="1">
        <v>44865</v>
      </c>
      <c r="H424" t="s">
        <v>78</v>
      </c>
      <c r="I424" t="str">
        <f>"YANG"</f>
        <v>YANG</v>
      </c>
      <c r="J424" t="str">
        <f>"WENJIN"</f>
        <v>WENJIN</v>
      </c>
      <c r="K424" t="str">
        <f>""</f>
        <v/>
      </c>
      <c r="L424" t="str">
        <f>"MANAGER"</f>
        <v>MANAGER</v>
      </c>
      <c r="M424" t="str">
        <f>"PMB 765 BOX 10003"</f>
        <v>PMB 765 BOX 10003</v>
      </c>
      <c r="N424" t="str">
        <f>"CHALAN MSGR. MARTINEZ"</f>
        <v>CHALAN MSGR. MARTINEZ</v>
      </c>
      <c r="O424" t="str">
        <f>"SAIPAN "</f>
        <v xml:space="preserve">SAIPAN </v>
      </c>
      <c r="P424" t="str">
        <f t="shared" si="242"/>
        <v>MP</v>
      </c>
      <c r="Q424" s="4" t="str">
        <f t="shared" si="250"/>
        <v>96950</v>
      </c>
      <c r="R424" t="str">
        <f t="shared" si="236"/>
        <v>UNITED STATES OF AMERICA</v>
      </c>
      <c r="S424" t="str">
        <f>""</f>
        <v/>
      </c>
      <c r="T424" s="5" t="str">
        <f>"16702888886"</f>
        <v>16702888886</v>
      </c>
      <c r="U424" t="str">
        <f>""</f>
        <v/>
      </c>
      <c r="V424" s="5" t="str">
        <f>""</f>
        <v/>
      </c>
      <c r="W424" t="str">
        <f>"yonghaomarket@outlook.com"</f>
        <v>yonghaomarket@outlook.com</v>
      </c>
      <c r="X424" t="str">
        <f>"CHENG CHANG CORPORATION "</f>
        <v xml:space="preserve">CHENG CHANG CORPORATION </v>
      </c>
      <c r="Y424" t="str">
        <f>"YONGHAO MARKET "</f>
        <v xml:space="preserve">YONGHAO MARKET </v>
      </c>
      <c r="Z424" t="str">
        <f>"PMB 765 BOX 10003"</f>
        <v>PMB 765 BOX 10003</v>
      </c>
      <c r="AA424" t="str">
        <f>"CHALAN MSGR. MARTINEZ "</f>
        <v xml:space="preserve">CHALAN MSGR. MARTINEZ </v>
      </c>
      <c r="AB424" t="str">
        <f>"SAIPAN "</f>
        <v xml:space="preserve">SAIPAN </v>
      </c>
      <c r="AC424" t="str">
        <f t="shared" si="249"/>
        <v>MP</v>
      </c>
      <c r="AD424" t="str">
        <f t="shared" si="251"/>
        <v>96950</v>
      </c>
      <c r="AE424" t="str">
        <f t="shared" si="238"/>
        <v>UNITED STATES OF AMERICA</v>
      </c>
      <c r="AF424" t="str">
        <f>""</f>
        <v/>
      </c>
      <c r="AG424" s="4" t="str">
        <f>"16702888886"</f>
        <v>16702888886</v>
      </c>
      <c r="AH424" t="str">
        <f>""</f>
        <v/>
      </c>
      <c r="AI424" t="str">
        <f>"44511"</f>
        <v>44511</v>
      </c>
      <c r="AJ424" t="s">
        <v>79</v>
      </c>
      <c r="AK424" t="s">
        <v>79</v>
      </c>
      <c r="AL424" t="s">
        <v>80</v>
      </c>
      <c r="AM424" t="s">
        <v>79</v>
      </c>
      <c r="AP424" t="str">
        <f>"ACCOUNTING CLERK "</f>
        <v xml:space="preserve">ACCOUNTING CLERK </v>
      </c>
      <c r="AQ424" t="str">
        <f>"43-3031.00"</f>
        <v>43-3031.00</v>
      </c>
      <c r="AR424" t="str">
        <f>"Bookkeeping, Accounting, and Auditing Clerks"</f>
        <v>Bookkeeping, Accounting, and Auditing Clerks</v>
      </c>
      <c r="AS424" t="str">
        <f>"ACCOUNTANT "</f>
        <v xml:space="preserve">ACCOUNTANT </v>
      </c>
      <c r="AT424" t="s">
        <v>79</v>
      </c>
      <c r="AU424" t="str">
        <f>""</f>
        <v/>
      </c>
      <c r="AV424" t="str">
        <f>""</f>
        <v/>
      </c>
      <c r="AW424" t="s">
        <v>79</v>
      </c>
      <c r="AX424" t="str">
        <f>""</f>
        <v/>
      </c>
      <c r="AY424" t="s">
        <v>124</v>
      </c>
      <c r="BA424" t="s">
        <v>492</v>
      </c>
      <c r="BB424" t="s">
        <v>79</v>
      </c>
      <c r="BD424" t="s">
        <v>79</v>
      </c>
      <c r="BG424" t="s">
        <v>82</v>
      </c>
      <c r="BH424">
        <v>24</v>
      </c>
      <c r="BI424" t="s">
        <v>493</v>
      </c>
      <c r="BJ424" t="s">
        <v>494</v>
      </c>
      <c r="BK424" t="str">
        <f>"PMB 765 BOX 10003"</f>
        <v>PMB 765 BOX 10003</v>
      </c>
      <c r="BL424" t="str">
        <f>"CHALAN MSGR. MARTINEZ "</f>
        <v xml:space="preserve">CHALAN MSGR. MARTINEZ </v>
      </c>
      <c r="BM424" t="str">
        <f>"SAIPAN "</f>
        <v xml:space="preserve">SAIPAN </v>
      </c>
      <c r="BO424" t="s">
        <v>83</v>
      </c>
      <c r="BP424" s="4" t="str">
        <f t="shared" si="252"/>
        <v>96950</v>
      </c>
      <c r="BQ424" t="s">
        <v>79</v>
      </c>
      <c r="BR424" t="str">
        <f>"43-3031.00"</f>
        <v>43-3031.00</v>
      </c>
      <c r="BS424" t="s">
        <v>142</v>
      </c>
      <c r="BT424" s="3">
        <v>11.21</v>
      </c>
      <c r="BU424" t="s">
        <v>80</v>
      </c>
      <c r="BV424" t="s">
        <v>90</v>
      </c>
      <c r="BW424" t="s">
        <v>92</v>
      </c>
      <c r="BZ424" s="1">
        <v>45107</v>
      </c>
    </row>
    <row r="425" spans="1:78" ht="15" customHeight="1" x14ac:dyDescent="0.25">
      <c r="A425" t="s">
        <v>495</v>
      </c>
      <c r="B425" t="s">
        <v>94</v>
      </c>
      <c r="C425" s="1">
        <v>44823</v>
      </c>
      <c r="D425" s="1">
        <v>44865</v>
      </c>
      <c r="H425" t="s">
        <v>78</v>
      </c>
      <c r="I425" t="str">
        <f>"BATALLONES"</f>
        <v>BATALLONES</v>
      </c>
      <c r="J425" t="str">
        <f>"RENATO "</f>
        <v xml:space="preserve">RENATO </v>
      </c>
      <c r="K425" t="str">
        <f>"PRADO "</f>
        <v xml:space="preserve">PRADO </v>
      </c>
      <c r="L425" t="str">
        <f>"PRESIDENT "</f>
        <v xml:space="preserve">PRESIDENT </v>
      </c>
      <c r="M425" t="str">
        <f>"P.O. BOX 504029"</f>
        <v>P.O. BOX 504029</v>
      </c>
      <c r="N425" t="str">
        <f>""</f>
        <v/>
      </c>
      <c r="O425" t="str">
        <f>"SAIPAN "</f>
        <v xml:space="preserve">SAIPAN </v>
      </c>
      <c r="P425" t="str">
        <f t="shared" si="242"/>
        <v>MP</v>
      </c>
      <c r="Q425" s="4" t="str">
        <f t="shared" si="250"/>
        <v>96950</v>
      </c>
      <c r="R425" t="str">
        <f t="shared" si="236"/>
        <v>UNITED STATES OF AMERICA</v>
      </c>
      <c r="S425" t="str">
        <f>""</f>
        <v/>
      </c>
      <c r="T425" s="5" t="str">
        <f>"16702331199"</f>
        <v>16702331199</v>
      </c>
      <c r="U425" t="str">
        <f>""</f>
        <v/>
      </c>
      <c r="V425" s="5" t="str">
        <f>""</f>
        <v/>
      </c>
      <c r="W425" t="str">
        <f>"uer.saipan@gmail.com"</f>
        <v>uer.saipan@gmail.com</v>
      </c>
      <c r="X425" t="str">
        <f>"UNITED EQUIPMENT RENTAL COMPANY CORPORATION "</f>
        <v xml:space="preserve">UNITED EQUIPMENT RENTAL COMPANY CORPORATION </v>
      </c>
      <c r="Y425" t="str">
        <f>"UNITED CONSTRUCTION SERVICES"</f>
        <v>UNITED CONSTRUCTION SERVICES</v>
      </c>
      <c r="Z425" t="str">
        <f>"P.O. BOX 504029"</f>
        <v>P.O. BOX 504029</v>
      </c>
      <c r="AA425" t="str">
        <f>""</f>
        <v/>
      </c>
      <c r="AB425" t="str">
        <f>"SAIPAN "</f>
        <v xml:space="preserve">SAIPAN </v>
      </c>
      <c r="AC425" t="str">
        <f t="shared" si="249"/>
        <v>MP</v>
      </c>
      <c r="AD425" t="str">
        <f t="shared" si="251"/>
        <v>96950</v>
      </c>
      <c r="AE425" t="str">
        <f t="shared" si="238"/>
        <v>UNITED STATES OF AMERICA</v>
      </c>
      <c r="AF425" t="str">
        <f>""</f>
        <v/>
      </c>
      <c r="AG425" s="4" t="str">
        <f>"16702331199"</f>
        <v>16702331199</v>
      </c>
      <c r="AH425" t="str">
        <f>""</f>
        <v/>
      </c>
      <c r="AI425" t="str">
        <f>"53241"</f>
        <v>53241</v>
      </c>
      <c r="AJ425" t="s">
        <v>79</v>
      </c>
      <c r="AK425" t="s">
        <v>79</v>
      </c>
      <c r="AL425" t="s">
        <v>80</v>
      </c>
      <c r="AM425" t="s">
        <v>79</v>
      </c>
      <c r="AP425" t="str">
        <f>"Civil Engineering Technician"</f>
        <v>Civil Engineering Technician</v>
      </c>
      <c r="AQ425" t="str">
        <f>"17-3022.00"</f>
        <v>17-3022.00</v>
      </c>
      <c r="AR425" t="str">
        <f>"Civil Engineering Technologists and Technicians"</f>
        <v>Civil Engineering Technologists and Technicians</v>
      </c>
      <c r="AS425" t="str">
        <f>"Manager "</f>
        <v xml:space="preserve">Manager </v>
      </c>
      <c r="AT425" t="s">
        <v>79</v>
      </c>
      <c r="AU425" t="str">
        <f>""</f>
        <v/>
      </c>
      <c r="AV425" t="str">
        <f>""</f>
        <v/>
      </c>
      <c r="AW425" t="s">
        <v>79</v>
      </c>
      <c r="AX425" t="str">
        <f>""</f>
        <v/>
      </c>
      <c r="AY425" t="s">
        <v>124</v>
      </c>
      <c r="BA425" t="s">
        <v>496</v>
      </c>
      <c r="BB425" t="s">
        <v>79</v>
      </c>
      <c r="BD425" t="s">
        <v>79</v>
      </c>
      <c r="BG425" t="s">
        <v>82</v>
      </c>
      <c r="BH425">
        <v>24</v>
      </c>
      <c r="BI425" t="s">
        <v>497</v>
      </c>
      <c r="BJ425" s="2" t="s">
        <v>498</v>
      </c>
      <c r="BK425" t="str">
        <f>"Salvinia Ln., Lower Base "</f>
        <v xml:space="preserve">Salvinia Ln., Lower Base </v>
      </c>
      <c r="BL425" t="str">
        <f>""</f>
        <v/>
      </c>
      <c r="BM425" t="str">
        <f>"Saipan "</f>
        <v xml:space="preserve">Saipan </v>
      </c>
      <c r="BO425" t="s">
        <v>83</v>
      </c>
      <c r="BP425" s="4" t="str">
        <f t="shared" si="252"/>
        <v>96950</v>
      </c>
      <c r="BQ425" t="s">
        <v>79</v>
      </c>
      <c r="BR425" t="str">
        <f>"17-3022.00"</f>
        <v>17-3022.00</v>
      </c>
      <c r="BS425" t="s">
        <v>490</v>
      </c>
      <c r="BT425" s="3">
        <v>16.75</v>
      </c>
      <c r="BU425" t="s">
        <v>80</v>
      </c>
      <c r="BV425" t="s">
        <v>90</v>
      </c>
      <c r="BW425" t="s">
        <v>92</v>
      </c>
      <c r="BZ425" s="1">
        <v>45107</v>
      </c>
    </row>
    <row r="426" spans="1:78" ht="15" customHeight="1" x14ac:dyDescent="0.25">
      <c r="A426" t="s">
        <v>499</v>
      </c>
      <c r="B426" t="s">
        <v>94</v>
      </c>
      <c r="C426" s="1">
        <v>44823</v>
      </c>
      <c r="D426" s="1">
        <v>44865</v>
      </c>
      <c r="H426" t="s">
        <v>78</v>
      </c>
      <c r="I426" t="str">
        <f>"CHEN "</f>
        <v xml:space="preserve">CHEN </v>
      </c>
      <c r="J426" t="str">
        <f>"MENGYUN "</f>
        <v xml:space="preserve">MENGYUN </v>
      </c>
      <c r="K426" t="str">
        <f>""</f>
        <v/>
      </c>
      <c r="L426" t="str">
        <f>"PRESIDENT "</f>
        <v xml:space="preserve">PRESIDENT </v>
      </c>
      <c r="M426" t="str">
        <f>"PMB 765 BOX 10003"</f>
        <v>PMB 765 BOX 10003</v>
      </c>
      <c r="N426" t="str">
        <f>"CHALAN MSGR. MARTINEZ "</f>
        <v xml:space="preserve">CHALAN MSGR. MARTINEZ </v>
      </c>
      <c r="O426" t="str">
        <f>"SAIPAN"</f>
        <v>SAIPAN</v>
      </c>
      <c r="P426" t="str">
        <f t="shared" si="242"/>
        <v>MP</v>
      </c>
      <c r="Q426" s="4" t="str">
        <f t="shared" si="250"/>
        <v>96950</v>
      </c>
      <c r="R426" t="str">
        <f t="shared" si="236"/>
        <v>UNITED STATES OF AMERICA</v>
      </c>
      <c r="S426" t="str">
        <f>""</f>
        <v/>
      </c>
      <c r="T426" s="5" t="str">
        <f>"16702888886"</f>
        <v>16702888886</v>
      </c>
      <c r="U426" t="str">
        <f>""</f>
        <v/>
      </c>
      <c r="V426" s="5" t="str">
        <f>""</f>
        <v/>
      </c>
      <c r="W426" t="str">
        <f>"yonghaomarket@outlook.com"</f>
        <v>yonghaomarket@outlook.com</v>
      </c>
      <c r="X426" t="str">
        <f>"CHENG CHANG CORPORATION "</f>
        <v xml:space="preserve">CHENG CHANG CORPORATION </v>
      </c>
      <c r="Y426" t="str">
        <f>"YONGHAO MARKET "</f>
        <v xml:space="preserve">YONGHAO MARKET </v>
      </c>
      <c r="Z426" t="str">
        <f>"PMB 765 BOX 10003"</f>
        <v>PMB 765 BOX 10003</v>
      </c>
      <c r="AA426" t="str">
        <f>"CHALAN MSGR. MARTINEZ "</f>
        <v xml:space="preserve">CHALAN MSGR. MARTINEZ </v>
      </c>
      <c r="AB426" t="str">
        <f>"SAIPAN "</f>
        <v xml:space="preserve">SAIPAN </v>
      </c>
      <c r="AC426" t="str">
        <f t="shared" si="249"/>
        <v>MP</v>
      </c>
      <c r="AD426" t="str">
        <f t="shared" si="251"/>
        <v>96950</v>
      </c>
      <c r="AE426" t="str">
        <f t="shared" si="238"/>
        <v>UNITED STATES OF AMERICA</v>
      </c>
      <c r="AF426" t="str">
        <f>""</f>
        <v/>
      </c>
      <c r="AG426" s="4" t="str">
        <f>"16702888886"</f>
        <v>16702888886</v>
      </c>
      <c r="AH426" t="str">
        <f>""</f>
        <v/>
      </c>
      <c r="AI426" t="str">
        <f>"44511"</f>
        <v>44511</v>
      </c>
      <c r="AJ426" t="s">
        <v>79</v>
      </c>
      <c r="AK426" t="s">
        <v>79</v>
      </c>
      <c r="AL426" t="s">
        <v>80</v>
      </c>
      <c r="AM426" t="s">
        <v>79</v>
      </c>
      <c r="AP426" t="str">
        <f>"STORE MAINTENANCE "</f>
        <v xml:space="preserve">STORE MAINTENANCE </v>
      </c>
      <c r="AQ426" t="str">
        <f>"49-9071.00"</f>
        <v>49-9071.00</v>
      </c>
      <c r="AR426" t="str">
        <f>"Maintenance and Repair Workers, General"</f>
        <v>Maintenance and Repair Workers, General</v>
      </c>
      <c r="AS426" t="str">
        <f>"GENERAL MANAGER "</f>
        <v xml:space="preserve">GENERAL MANAGER </v>
      </c>
      <c r="AT426" t="s">
        <v>79</v>
      </c>
      <c r="AU426" t="str">
        <f>""</f>
        <v/>
      </c>
      <c r="AV426" t="str">
        <f>""</f>
        <v/>
      </c>
      <c r="AW426" t="s">
        <v>79</v>
      </c>
      <c r="AX426" t="str">
        <f>""</f>
        <v/>
      </c>
      <c r="AY426" t="s">
        <v>84</v>
      </c>
      <c r="BA426" t="s">
        <v>80</v>
      </c>
      <c r="BB426" t="s">
        <v>79</v>
      </c>
      <c r="BD426" t="s">
        <v>79</v>
      </c>
      <c r="BG426" t="s">
        <v>82</v>
      </c>
      <c r="BH426">
        <v>24</v>
      </c>
      <c r="BI426" t="s">
        <v>172</v>
      </c>
      <c r="BJ426" t="s">
        <v>500</v>
      </c>
      <c r="BK426" t="str">
        <f>"PMB 765 BOX 10003"</f>
        <v>PMB 765 BOX 10003</v>
      </c>
      <c r="BL426" t="str">
        <f>"CHALAN MSGR. MARTINEZ "</f>
        <v xml:space="preserve">CHALAN MSGR. MARTINEZ </v>
      </c>
      <c r="BM426" t="str">
        <f>"SAIPAN "</f>
        <v xml:space="preserve">SAIPAN </v>
      </c>
      <c r="BO426" t="s">
        <v>83</v>
      </c>
      <c r="BP426" s="4" t="str">
        <f t="shared" si="252"/>
        <v>96950</v>
      </c>
      <c r="BQ426" t="s">
        <v>79</v>
      </c>
      <c r="BR426" t="str">
        <f>"49-9071.00"</f>
        <v>49-9071.00</v>
      </c>
      <c r="BS426" t="s">
        <v>146</v>
      </c>
      <c r="BT426" s="3">
        <v>9.19</v>
      </c>
      <c r="BU426" t="s">
        <v>80</v>
      </c>
      <c r="BV426" t="s">
        <v>90</v>
      </c>
      <c r="BW426" t="s">
        <v>92</v>
      </c>
      <c r="BZ426" s="1">
        <v>45107</v>
      </c>
    </row>
    <row r="427" spans="1:78" ht="15" customHeight="1" x14ac:dyDescent="0.25">
      <c r="A427" t="s">
        <v>501</v>
      </c>
      <c r="B427" t="s">
        <v>94</v>
      </c>
      <c r="C427" s="1">
        <v>44823</v>
      </c>
      <c r="D427" s="1">
        <v>44865</v>
      </c>
      <c r="H427" t="s">
        <v>78</v>
      </c>
      <c r="I427" t="str">
        <f>"Batallones"</f>
        <v>Batallones</v>
      </c>
      <c r="J427" t="str">
        <f>"Renato"</f>
        <v>Renato</v>
      </c>
      <c r="K427" t="str">
        <f>"Prado"</f>
        <v>Prado</v>
      </c>
      <c r="L427" t="str">
        <f>"President"</f>
        <v>President</v>
      </c>
      <c r="M427" t="str">
        <f>"P.O. BOX 504029"</f>
        <v>P.O. BOX 504029</v>
      </c>
      <c r="N427" t="str">
        <f>""</f>
        <v/>
      </c>
      <c r="O427" t="str">
        <f>"Saipan"</f>
        <v>Saipan</v>
      </c>
      <c r="P427" t="str">
        <f t="shared" si="242"/>
        <v>MP</v>
      </c>
      <c r="Q427" s="4" t="str">
        <f t="shared" si="250"/>
        <v>96950</v>
      </c>
      <c r="R427" t="str">
        <f t="shared" si="236"/>
        <v>UNITED STATES OF AMERICA</v>
      </c>
      <c r="S427" t="str">
        <f>""</f>
        <v/>
      </c>
      <c r="T427" s="5" t="str">
        <f>"16702331199"</f>
        <v>16702331199</v>
      </c>
      <c r="U427" t="str">
        <f>""</f>
        <v/>
      </c>
      <c r="V427" s="5" t="str">
        <f>""</f>
        <v/>
      </c>
      <c r="W427" t="str">
        <f>"uer.saipan@gmail.com"</f>
        <v>uer.saipan@gmail.com</v>
      </c>
      <c r="X427" t="str">
        <f>"United Equipment Rental Company Corporation "</f>
        <v xml:space="preserve">United Equipment Rental Company Corporation </v>
      </c>
      <c r="Y427" t="str">
        <f>"United Construction Services"</f>
        <v>United Construction Services</v>
      </c>
      <c r="Z427" t="str">
        <f>"P.O. Box 504029"</f>
        <v>P.O. Box 504029</v>
      </c>
      <c r="AA427" t="str">
        <f>""</f>
        <v/>
      </c>
      <c r="AB427" t="str">
        <f>"Saipan "</f>
        <v xml:space="preserve">Saipan </v>
      </c>
      <c r="AC427" t="str">
        <f t="shared" si="249"/>
        <v>MP</v>
      </c>
      <c r="AD427" t="str">
        <f t="shared" si="251"/>
        <v>96950</v>
      </c>
      <c r="AE427" t="str">
        <f t="shared" si="238"/>
        <v>UNITED STATES OF AMERICA</v>
      </c>
      <c r="AF427" t="str">
        <f>""</f>
        <v/>
      </c>
      <c r="AG427" s="4" t="str">
        <f>"16702331199"</f>
        <v>16702331199</v>
      </c>
      <c r="AH427" t="str">
        <f>""</f>
        <v/>
      </c>
      <c r="AI427" t="str">
        <f>"53241"</f>
        <v>53241</v>
      </c>
      <c r="AJ427" t="s">
        <v>79</v>
      </c>
      <c r="AK427" t="s">
        <v>79</v>
      </c>
      <c r="AL427" t="s">
        <v>80</v>
      </c>
      <c r="AM427" t="s">
        <v>79</v>
      </c>
      <c r="AP427" t="str">
        <f>"Civil Engineering Technician "</f>
        <v xml:space="preserve">Civil Engineering Technician </v>
      </c>
      <c r="AQ427" t="str">
        <f>"17-3022.00"</f>
        <v>17-3022.00</v>
      </c>
      <c r="AR427" t="str">
        <f>"Civil Engineering Technologists and Technicians"</f>
        <v>Civil Engineering Technologists and Technicians</v>
      </c>
      <c r="AS427" t="str">
        <f>"Manager"</f>
        <v>Manager</v>
      </c>
      <c r="AT427" t="s">
        <v>79</v>
      </c>
      <c r="AU427" t="str">
        <f>""</f>
        <v/>
      </c>
      <c r="AV427" t="str">
        <f>""</f>
        <v/>
      </c>
      <c r="AW427" t="s">
        <v>79</v>
      </c>
      <c r="AX427" t="str">
        <f>""</f>
        <v/>
      </c>
      <c r="AY427" t="s">
        <v>124</v>
      </c>
      <c r="BA427" t="s">
        <v>502</v>
      </c>
      <c r="BB427" t="s">
        <v>79</v>
      </c>
      <c r="BD427" t="s">
        <v>79</v>
      </c>
      <c r="BG427" t="s">
        <v>82</v>
      </c>
      <c r="BH427">
        <v>24</v>
      </c>
      <c r="BI427" t="s">
        <v>503</v>
      </c>
      <c r="BJ427" t="s">
        <v>504</v>
      </c>
      <c r="BK427" t="str">
        <f>"Salvinia Ln.,  Lower Base "</f>
        <v xml:space="preserve">Salvinia Ln.,  Lower Base </v>
      </c>
      <c r="BL427" t="str">
        <f>""</f>
        <v/>
      </c>
      <c r="BM427" t="str">
        <f>"Saipan "</f>
        <v xml:space="preserve">Saipan </v>
      </c>
      <c r="BO427" t="s">
        <v>83</v>
      </c>
      <c r="BP427" s="4" t="str">
        <f t="shared" si="252"/>
        <v>96950</v>
      </c>
      <c r="BQ427" t="s">
        <v>79</v>
      </c>
      <c r="BR427" t="str">
        <f>"17-3022.00"</f>
        <v>17-3022.00</v>
      </c>
      <c r="BS427" t="s">
        <v>490</v>
      </c>
      <c r="BT427" s="3">
        <v>16.75</v>
      </c>
      <c r="BU427" t="s">
        <v>80</v>
      </c>
      <c r="BV427" t="s">
        <v>90</v>
      </c>
      <c r="BW427" t="s">
        <v>92</v>
      </c>
      <c r="BZ427" s="1">
        <v>45107</v>
      </c>
    </row>
    <row r="428" spans="1:78" ht="15" customHeight="1" x14ac:dyDescent="0.25">
      <c r="A428" t="s">
        <v>505</v>
      </c>
      <c r="B428" t="s">
        <v>94</v>
      </c>
      <c r="C428" s="1">
        <v>44823</v>
      </c>
      <c r="D428" s="1">
        <v>44865</v>
      </c>
      <c r="H428" t="s">
        <v>78</v>
      </c>
      <c r="I428" t="str">
        <f>"CHEN "</f>
        <v xml:space="preserve">CHEN </v>
      </c>
      <c r="J428" t="str">
        <f>"MENGYUN "</f>
        <v xml:space="preserve">MENGYUN </v>
      </c>
      <c r="K428" t="str">
        <f>""</f>
        <v/>
      </c>
      <c r="L428" t="str">
        <f>"PRESIDENT "</f>
        <v xml:space="preserve">PRESIDENT </v>
      </c>
      <c r="M428" t="str">
        <f>"PMB 765 BOX 10003"</f>
        <v>PMB 765 BOX 10003</v>
      </c>
      <c r="N428" t="str">
        <f>"CHALAN MSGR. MARTINEZ "</f>
        <v xml:space="preserve">CHALAN MSGR. MARTINEZ </v>
      </c>
      <c r="O428" t="str">
        <f>"SAIPAN "</f>
        <v xml:space="preserve">SAIPAN </v>
      </c>
      <c r="P428" t="str">
        <f t="shared" si="242"/>
        <v>MP</v>
      </c>
      <c r="Q428" s="4" t="str">
        <f t="shared" si="250"/>
        <v>96950</v>
      </c>
      <c r="R428" t="str">
        <f t="shared" si="236"/>
        <v>UNITED STATES OF AMERICA</v>
      </c>
      <c r="S428" t="str">
        <f>""</f>
        <v/>
      </c>
      <c r="T428" s="5" t="str">
        <f>"16702888886"</f>
        <v>16702888886</v>
      </c>
      <c r="U428" t="str">
        <f>""</f>
        <v/>
      </c>
      <c r="V428" s="5" t="str">
        <f>""</f>
        <v/>
      </c>
      <c r="W428" t="str">
        <f>"yonghaomarket@outlook.com"</f>
        <v>yonghaomarket@outlook.com</v>
      </c>
      <c r="X428" t="str">
        <f>"CHENG CHANG CORPORATION "</f>
        <v xml:space="preserve">CHENG CHANG CORPORATION </v>
      </c>
      <c r="Y428" t="str">
        <f>"YONGHAO MARKET "</f>
        <v xml:space="preserve">YONGHAO MARKET </v>
      </c>
      <c r="Z428" t="str">
        <f>"PMB 765 BOX 10003"</f>
        <v>PMB 765 BOX 10003</v>
      </c>
      <c r="AA428" t="str">
        <f>"CHALAN MSGR. MARTINEZ "</f>
        <v xml:space="preserve">CHALAN MSGR. MARTINEZ </v>
      </c>
      <c r="AB428" t="str">
        <f>"SAIPAN "</f>
        <v xml:space="preserve">SAIPAN </v>
      </c>
      <c r="AC428" t="str">
        <f t="shared" si="249"/>
        <v>MP</v>
      </c>
      <c r="AD428" t="str">
        <f t="shared" si="251"/>
        <v>96950</v>
      </c>
      <c r="AE428" t="str">
        <f t="shared" si="238"/>
        <v>UNITED STATES OF AMERICA</v>
      </c>
      <c r="AF428" t="str">
        <f>""</f>
        <v/>
      </c>
      <c r="AG428" s="4" t="str">
        <f>"16702888886"</f>
        <v>16702888886</v>
      </c>
      <c r="AH428" t="str">
        <f>""</f>
        <v/>
      </c>
      <c r="AI428" t="str">
        <f>"44511"</f>
        <v>44511</v>
      </c>
      <c r="AJ428" t="s">
        <v>79</v>
      </c>
      <c r="AK428" t="s">
        <v>79</v>
      </c>
      <c r="AL428" t="s">
        <v>80</v>
      </c>
      <c r="AM428" t="s">
        <v>79</v>
      </c>
      <c r="AP428" t="str">
        <f>"STORE MANAGER "</f>
        <v xml:space="preserve">STORE MANAGER </v>
      </c>
      <c r="AQ428" t="str">
        <f>"11-1021.00"</f>
        <v>11-1021.00</v>
      </c>
      <c r="AR428" t="str">
        <f>"General and Operations Managers"</f>
        <v>General and Operations Managers</v>
      </c>
      <c r="AS428" t="str">
        <f>"GENERAL OPERATION MANAGER "</f>
        <v xml:space="preserve">GENERAL OPERATION MANAGER </v>
      </c>
      <c r="AT428" t="s">
        <v>82</v>
      </c>
      <c r="AU428" t="str">
        <f>"4"</f>
        <v>4</v>
      </c>
      <c r="AV428" t="str">
        <f>"Subordinate"</f>
        <v>Subordinate</v>
      </c>
      <c r="AW428" t="s">
        <v>79</v>
      </c>
      <c r="AX428" t="str">
        <f>""</f>
        <v/>
      </c>
      <c r="AY428" t="s">
        <v>84</v>
      </c>
      <c r="BA428" t="s">
        <v>80</v>
      </c>
      <c r="BB428" t="s">
        <v>79</v>
      </c>
      <c r="BD428" t="s">
        <v>79</v>
      </c>
      <c r="BG428" t="s">
        <v>82</v>
      </c>
      <c r="BH428">
        <v>24</v>
      </c>
      <c r="BI428" t="s">
        <v>506</v>
      </c>
      <c r="BJ428" s="2" t="s">
        <v>507</v>
      </c>
      <c r="BK428" t="str">
        <f>"PMB 765 BOX 10003"</f>
        <v>PMB 765 BOX 10003</v>
      </c>
      <c r="BL428" t="str">
        <f>"CHALAN MSGR. MARTINEZ "</f>
        <v xml:space="preserve">CHALAN MSGR. MARTINEZ </v>
      </c>
      <c r="BM428" t="str">
        <f>"SAIPAN "</f>
        <v xml:space="preserve">SAIPAN </v>
      </c>
      <c r="BO428" t="s">
        <v>83</v>
      </c>
      <c r="BP428" s="4" t="str">
        <f t="shared" si="252"/>
        <v>96950</v>
      </c>
      <c r="BQ428" t="s">
        <v>79</v>
      </c>
      <c r="BR428" t="str">
        <f>"11-1021.00"</f>
        <v>11-1021.00</v>
      </c>
      <c r="BS428" t="s">
        <v>244</v>
      </c>
      <c r="BT428" s="3">
        <v>20.83</v>
      </c>
      <c r="BU428" t="s">
        <v>80</v>
      </c>
      <c r="BV428" t="s">
        <v>90</v>
      </c>
      <c r="BW428" t="s">
        <v>92</v>
      </c>
      <c r="BZ428" s="1">
        <v>45107</v>
      </c>
    </row>
    <row r="429" spans="1:78" ht="15" customHeight="1" x14ac:dyDescent="0.25">
      <c r="A429" t="s">
        <v>508</v>
      </c>
      <c r="B429" t="s">
        <v>94</v>
      </c>
      <c r="C429" s="1">
        <v>44823</v>
      </c>
      <c r="D429" s="1">
        <v>44865</v>
      </c>
      <c r="H429" t="s">
        <v>78</v>
      </c>
      <c r="I429" t="str">
        <f>"CHUNG"</f>
        <v>CHUNG</v>
      </c>
      <c r="J429" t="str">
        <f>"WOON "</f>
        <v xml:space="preserve">WOON </v>
      </c>
      <c r="K429" t="str">
        <f>"SOO"</f>
        <v>SOO</v>
      </c>
      <c r="L429" t="str">
        <f>"VICE PRESIDENT"</f>
        <v>VICE PRESIDENT</v>
      </c>
      <c r="M429" t="str">
        <f>"201 G &amp; G APARTMENT GARAPAN"</f>
        <v>201 G &amp; G APARTMENT GARAPAN</v>
      </c>
      <c r="N429" t="str">
        <f>""</f>
        <v/>
      </c>
      <c r="O429" t="str">
        <f>"Saipan"</f>
        <v>Saipan</v>
      </c>
      <c r="P429" t="str">
        <f t="shared" si="242"/>
        <v>MP</v>
      </c>
      <c r="Q429" s="4" t="str">
        <f t="shared" si="250"/>
        <v>96950</v>
      </c>
      <c r="R429" t="str">
        <f t="shared" si="236"/>
        <v>UNITED STATES OF AMERICA</v>
      </c>
      <c r="S429" t="str">
        <f>""</f>
        <v/>
      </c>
      <c r="T429" s="5" t="str">
        <f>"16702338040"</f>
        <v>16702338040</v>
      </c>
      <c r="U429" t="str">
        <f>""</f>
        <v/>
      </c>
      <c r="V429" s="5" t="str">
        <f>""</f>
        <v/>
      </c>
      <c r="W429" t="str">
        <f>"youngckim@gmail.com"</f>
        <v>youngckim@gmail.com</v>
      </c>
      <c r="X429" t="str">
        <f>"NURY CORPORATION"</f>
        <v>NURY CORPORATION</v>
      </c>
      <c r="Y429" t="str">
        <f>""</f>
        <v/>
      </c>
      <c r="Z429" t="str">
        <f>"201 G &amp; G APARTMENT GARAPAN"</f>
        <v>201 G &amp; G APARTMENT GARAPAN</v>
      </c>
      <c r="AA429" t="str">
        <f>""</f>
        <v/>
      </c>
      <c r="AB429" t="str">
        <f>"Saipan"</f>
        <v>Saipan</v>
      </c>
      <c r="AC429" t="str">
        <f t="shared" si="249"/>
        <v>MP</v>
      </c>
      <c r="AD429" t="str">
        <f t="shared" si="251"/>
        <v>96950</v>
      </c>
      <c r="AE429" t="str">
        <f t="shared" si="238"/>
        <v>UNITED STATES OF AMERICA</v>
      </c>
      <c r="AF429" t="str">
        <f>""</f>
        <v/>
      </c>
      <c r="AG429" s="4" t="str">
        <f>"16702338040"</f>
        <v>16702338040</v>
      </c>
      <c r="AH429" t="str">
        <f>""</f>
        <v/>
      </c>
      <c r="AI429" t="str">
        <f>"53111"</f>
        <v>53111</v>
      </c>
      <c r="AJ429" t="s">
        <v>79</v>
      </c>
      <c r="AK429" t="s">
        <v>79</v>
      </c>
      <c r="AL429" t="s">
        <v>80</v>
      </c>
      <c r="AM429" t="s">
        <v>79</v>
      </c>
      <c r="AP429" t="str">
        <f>"GRAPHIC DESIGNER"</f>
        <v>GRAPHIC DESIGNER</v>
      </c>
      <c r="AQ429" t="str">
        <f>"27-1024.00"</f>
        <v>27-1024.00</v>
      </c>
      <c r="AR429" t="str">
        <f>"Graphic Designers"</f>
        <v>Graphic Designers</v>
      </c>
      <c r="AS429" t="str">
        <f>"PRESIDENT"</f>
        <v>PRESIDENT</v>
      </c>
      <c r="AT429" t="s">
        <v>79</v>
      </c>
      <c r="AU429" t="str">
        <f>""</f>
        <v/>
      </c>
      <c r="AV429" t="str">
        <f>""</f>
        <v/>
      </c>
      <c r="AW429" t="s">
        <v>79</v>
      </c>
      <c r="AX429" t="str">
        <f>""</f>
        <v/>
      </c>
      <c r="AY429" t="s">
        <v>84</v>
      </c>
      <c r="BA429" t="s">
        <v>80</v>
      </c>
      <c r="BB429" t="s">
        <v>79</v>
      </c>
      <c r="BD429" t="s">
        <v>82</v>
      </c>
      <c r="BE429">
        <v>3</v>
      </c>
      <c r="BF429" t="s">
        <v>509</v>
      </c>
      <c r="BG429" t="s">
        <v>82</v>
      </c>
      <c r="BH429">
        <v>24</v>
      </c>
      <c r="BI429" t="s">
        <v>510</v>
      </c>
      <c r="BJ429" s="2" t="s">
        <v>511</v>
      </c>
      <c r="BK429" t="str">
        <f>"201 G &amp; G APARTMENT GARAPAN"</f>
        <v>201 G &amp; G APARTMENT GARAPAN</v>
      </c>
      <c r="BL429" t="str">
        <f>""</f>
        <v/>
      </c>
      <c r="BM429" t="str">
        <f>"Saipan"</f>
        <v>Saipan</v>
      </c>
      <c r="BO429" t="s">
        <v>83</v>
      </c>
      <c r="BP429" s="4" t="str">
        <f t="shared" si="252"/>
        <v>96950</v>
      </c>
      <c r="BQ429" t="s">
        <v>79</v>
      </c>
      <c r="BR429" t="str">
        <f>"27-1024.00"</f>
        <v>27-1024.00</v>
      </c>
      <c r="BS429" t="s">
        <v>512</v>
      </c>
      <c r="BT429" s="3">
        <v>10.18</v>
      </c>
      <c r="BU429" t="s">
        <v>80</v>
      </c>
      <c r="BV429" t="s">
        <v>90</v>
      </c>
      <c r="BW429" t="s">
        <v>92</v>
      </c>
      <c r="BZ429" s="1">
        <v>45107</v>
      </c>
    </row>
    <row r="430" spans="1:78" ht="15" customHeight="1" x14ac:dyDescent="0.25">
      <c r="A430" t="s">
        <v>513</v>
      </c>
      <c r="B430" t="s">
        <v>94</v>
      </c>
      <c r="C430" s="1">
        <v>44823</v>
      </c>
      <c r="D430" s="1">
        <v>44865</v>
      </c>
      <c r="H430" t="s">
        <v>78</v>
      </c>
      <c r="I430" t="str">
        <f>"Batallones"</f>
        <v>Batallones</v>
      </c>
      <c r="J430" t="str">
        <f>"Renato "</f>
        <v xml:space="preserve">Renato </v>
      </c>
      <c r="K430" t="str">
        <f>"Prado "</f>
        <v xml:space="preserve">Prado </v>
      </c>
      <c r="L430" t="str">
        <f>"President "</f>
        <v xml:space="preserve">President </v>
      </c>
      <c r="M430" t="str">
        <f>"P.O. BOX 504029"</f>
        <v>P.O. BOX 504029</v>
      </c>
      <c r="N430" t="str">
        <f>""</f>
        <v/>
      </c>
      <c r="O430" t="str">
        <f>"Saipan"</f>
        <v>Saipan</v>
      </c>
      <c r="P430" t="str">
        <f t="shared" si="242"/>
        <v>MP</v>
      </c>
      <c r="Q430" s="4" t="str">
        <f t="shared" si="250"/>
        <v>96950</v>
      </c>
      <c r="R430" t="str">
        <f t="shared" si="236"/>
        <v>UNITED STATES OF AMERICA</v>
      </c>
      <c r="S430" t="str">
        <f>""</f>
        <v/>
      </c>
      <c r="T430" s="5" t="str">
        <f>"16702331199"</f>
        <v>16702331199</v>
      </c>
      <c r="U430" t="str">
        <f>""</f>
        <v/>
      </c>
      <c r="V430" s="5" t="str">
        <f>""</f>
        <v/>
      </c>
      <c r="W430" t="str">
        <f>"uer.saipan@gmail.com"</f>
        <v>uer.saipan@gmail.com</v>
      </c>
      <c r="X430" t="str">
        <f>"United Equipment Rental Company Corporation "</f>
        <v xml:space="preserve">United Equipment Rental Company Corporation </v>
      </c>
      <c r="Y430" t="str">
        <f>"United Construction Services "</f>
        <v xml:space="preserve">United Construction Services </v>
      </c>
      <c r="Z430" t="str">
        <f>"P.O. BOX 504029"</f>
        <v>P.O. BOX 504029</v>
      </c>
      <c r="AA430" t="str">
        <f>""</f>
        <v/>
      </c>
      <c r="AB430" t="str">
        <f>"Saipan"</f>
        <v>Saipan</v>
      </c>
      <c r="AC430" t="str">
        <f t="shared" si="249"/>
        <v>MP</v>
      </c>
      <c r="AD430" t="str">
        <f t="shared" si="251"/>
        <v>96950</v>
      </c>
      <c r="AE430" t="str">
        <f t="shared" si="238"/>
        <v>UNITED STATES OF AMERICA</v>
      </c>
      <c r="AF430" t="str">
        <f>""</f>
        <v/>
      </c>
      <c r="AG430" s="4" t="str">
        <f>"16702331199"</f>
        <v>16702331199</v>
      </c>
      <c r="AH430" t="str">
        <f>""</f>
        <v/>
      </c>
      <c r="AI430" t="str">
        <f>"236220"</f>
        <v>236220</v>
      </c>
      <c r="AJ430" t="s">
        <v>79</v>
      </c>
      <c r="AK430" t="s">
        <v>79</v>
      </c>
      <c r="AL430" t="s">
        <v>80</v>
      </c>
      <c r="AM430" t="s">
        <v>79</v>
      </c>
      <c r="AP430" t="str">
        <f>"Maintenance and Repair Workers, General "</f>
        <v xml:space="preserve">Maintenance and Repair Workers, General </v>
      </c>
      <c r="AQ430" t="str">
        <f>"49-9071.00"</f>
        <v>49-9071.00</v>
      </c>
      <c r="AR430" t="str">
        <f>"Maintenance and Repair Workers, General"</f>
        <v>Maintenance and Repair Workers, General</v>
      </c>
      <c r="AS430" t="str">
        <f>"Manager "</f>
        <v xml:space="preserve">Manager </v>
      </c>
      <c r="AT430" t="s">
        <v>79</v>
      </c>
      <c r="AU430" t="str">
        <f>""</f>
        <v/>
      </c>
      <c r="AV430" t="str">
        <f>""</f>
        <v/>
      </c>
      <c r="AW430" t="s">
        <v>79</v>
      </c>
      <c r="AX430" t="str">
        <f>""</f>
        <v/>
      </c>
      <c r="AY430" t="s">
        <v>84</v>
      </c>
      <c r="BA430" t="s">
        <v>80</v>
      </c>
      <c r="BB430" t="s">
        <v>79</v>
      </c>
      <c r="BD430" t="s">
        <v>79</v>
      </c>
      <c r="BG430" t="s">
        <v>82</v>
      </c>
      <c r="BH430">
        <v>12</v>
      </c>
      <c r="BI430" t="s">
        <v>514</v>
      </c>
      <c r="BJ430" t="s">
        <v>515</v>
      </c>
      <c r="BK430" t="str">
        <f>"Salvinia Lan.,  Lower Base "</f>
        <v xml:space="preserve">Salvinia Lan.,  Lower Base </v>
      </c>
      <c r="BL430" t="str">
        <f>""</f>
        <v/>
      </c>
      <c r="BM430" t="str">
        <f>"Saipan "</f>
        <v xml:space="preserve">Saipan </v>
      </c>
      <c r="BO430" t="s">
        <v>83</v>
      </c>
      <c r="BP430" s="4" t="str">
        <f t="shared" si="252"/>
        <v>96950</v>
      </c>
      <c r="BQ430" t="s">
        <v>79</v>
      </c>
      <c r="BR430" t="str">
        <f>"49-9071.00"</f>
        <v>49-9071.00</v>
      </c>
      <c r="BS430" t="s">
        <v>146</v>
      </c>
      <c r="BT430" s="3">
        <v>9.19</v>
      </c>
      <c r="BU430" t="s">
        <v>80</v>
      </c>
      <c r="BV430" t="s">
        <v>90</v>
      </c>
      <c r="BW430" t="s">
        <v>92</v>
      </c>
      <c r="BZ430" s="1">
        <v>45107</v>
      </c>
    </row>
    <row r="431" spans="1:78" ht="15" customHeight="1" x14ac:dyDescent="0.25">
      <c r="A431" t="s">
        <v>516</v>
      </c>
      <c r="B431" t="s">
        <v>94</v>
      </c>
      <c r="C431" s="1">
        <v>44823</v>
      </c>
      <c r="D431" s="1">
        <v>44865</v>
      </c>
      <c r="H431" t="s">
        <v>78</v>
      </c>
      <c r="I431" t="str">
        <f>"BATALLONES"</f>
        <v>BATALLONES</v>
      </c>
      <c r="J431" t="str">
        <f>"RENATO"</f>
        <v>RENATO</v>
      </c>
      <c r="K431" t="str">
        <f>"Prado"</f>
        <v>Prado</v>
      </c>
      <c r="L431" t="str">
        <f>"President "</f>
        <v xml:space="preserve">President </v>
      </c>
      <c r="M431" t="str">
        <f>"P.O. BOX 504029"</f>
        <v>P.O. BOX 504029</v>
      </c>
      <c r="N431" t="str">
        <f>""</f>
        <v/>
      </c>
      <c r="O431" t="str">
        <f>"Saipan"</f>
        <v>Saipan</v>
      </c>
      <c r="P431" t="str">
        <f t="shared" si="242"/>
        <v>MP</v>
      </c>
      <c r="Q431" s="4" t="str">
        <f t="shared" si="250"/>
        <v>96950</v>
      </c>
      <c r="R431" t="str">
        <f t="shared" si="236"/>
        <v>UNITED STATES OF AMERICA</v>
      </c>
      <c r="S431" t="str">
        <f>""</f>
        <v/>
      </c>
      <c r="T431" s="5" t="str">
        <f>"16702331199"</f>
        <v>16702331199</v>
      </c>
      <c r="U431" t="str">
        <f>""</f>
        <v/>
      </c>
      <c r="V431" s="5" t="str">
        <f>""</f>
        <v/>
      </c>
      <c r="W431" t="str">
        <f>"uer.saipan@gmail.com"</f>
        <v>uer.saipan@gmail.com</v>
      </c>
      <c r="X431" t="str">
        <f>"UNITED EQUIPMENT RENTAL COMPANY CORPORATION "</f>
        <v xml:space="preserve">UNITED EQUIPMENT RENTAL COMPANY CORPORATION </v>
      </c>
      <c r="Y431" t="str">
        <f>"UNITED CONSTRUCTION SERVICES "</f>
        <v xml:space="preserve">UNITED CONSTRUCTION SERVICES </v>
      </c>
      <c r="Z431" t="str">
        <f>"P.O. BOX 504029"</f>
        <v>P.O. BOX 504029</v>
      </c>
      <c r="AA431" t="str">
        <f>""</f>
        <v/>
      </c>
      <c r="AB431" t="str">
        <f>"Saipan"</f>
        <v>Saipan</v>
      </c>
      <c r="AC431" t="str">
        <f t="shared" si="249"/>
        <v>MP</v>
      </c>
      <c r="AD431" t="str">
        <f t="shared" si="251"/>
        <v>96950</v>
      </c>
      <c r="AE431" t="str">
        <f t="shared" si="238"/>
        <v>UNITED STATES OF AMERICA</v>
      </c>
      <c r="AF431" t="str">
        <f>""</f>
        <v/>
      </c>
      <c r="AG431" s="4" t="str">
        <f>"16702331199"</f>
        <v>16702331199</v>
      </c>
      <c r="AH431" t="str">
        <f>""</f>
        <v/>
      </c>
      <c r="AI431" t="str">
        <f>"236220"</f>
        <v>236220</v>
      </c>
      <c r="AJ431" t="s">
        <v>79</v>
      </c>
      <c r="AK431" t="s">
        <v>79</v>
      </c>
      <c r="AL431" t="s">
        <v>80</v>
      </c>
      <c r="AM431" t="s">
        <v>79</v>
      </c>
      <c r="AP431" t="str">
        <f>"Maintenance and Repair Workers, General  "</f>
        <v xml:space="preserve">Maintenance and Repair Workers, General  </v>
      </c>
      <c r="AQ431" t="str">
        <f>"49-9071.00"</f>
        <v>49-9071.00</v>
      </c>
      <c r="AR431" t="str">
        <f>"Maintenance and Repair Workers, General"</f>
        <v>Maintenance and Repair Workers, General</v>
      </c>
      <c r="AS431" t="str">
        <f>"Manager "</f>
        <v xml:space="preserve">Manager </v>
      </c>
      <c r="AT431" t="s">
        <v>79</v>
      </c>
      <c r="AU431" t="str">
        <f>""</f>
        <v/>
      </c>
      <c r="AV431" t="str">
        <f>""</f>
        <v/>
      </c>
      <c r="AW431" t="s">
        <v>79</v>
      </c>
      <c r="AX431" t="str">
        <f>""</f>
        <v/>
      </c>
      <c r="AY431" t="s">
        <v>84</v>
      </c>
      <c r="BA431" t="s">
        <v>80</v>
      </c>
      <c r="BB431" t="s">
        <v>79</v>
      </c>
      <c r="BD431" t="s">
        <v>79</v>
      </c>
      <c r="BG431" t="s">
        <v>82</v>
      </c>
      <c r="BH431">
        <v>12</v>
      </c>
      <c r="BI431" t="s">
        <v>517</v>
      </c>
      <c r="BJ431" t="s">
        <v>518</v>
      </c>
      <c r="BK431" t="str">
        <f>"Salvinia Ln., Lower Base "</f>
        <v xml:space="preserve">Salvinia Ln., Lower Base </v>
      </c>
      <c r="BL431" t="str">
        <f>""</f>
        <v/>
      </c>
      <c r="BM431" t="str">
        <f>"Saipan "</f>
        <v xml:space="preserve">Saipan </v>
      </c>
      <c r="BO431" t="s">
        <v>83</v>
      </c>
      <c r="BP431" s="4" t="str">
        <f t="shared" si="252"/>
        <v>96950</v>
      </c>
      <c r="BQ431" t="s">
        <v>79</v>
      </c>
      <c r="BR431" t="str">
        <f>"49-9071.00"</f>
        <v>49-9071.00</v>
      </c>
      <c r="BS431" t="s">
        <v>146</v>
      </c>
      <c r="BT431" s="3">
        <v>9.19</v>
      </c>
      <c r="BU431" t="s">
        <v>80</v>
      </c>
      <c r="BV431" t="s">
        <v>90</v>
      </c>
      <c r="BW431" t="s">
        <v>92</v>
      </c>
      <c r="BZ431" s="1">
        <v>45107</v>
      </c>
    </row>
    <row r="432" spans="1:78" ht="15" customHeight="1" x14ac:dyDescent="0.25">
      <c r="A432" t="s">
        <v>519</v>
      </c>
      <c r="B432" t="s">
        <v>94</v>
      </c>
      <c r="C432" s="1">
        <v>44823</v>
      </c>
      <c r="D432" s="1">
        <v>44865</v>
      </c>
      <c r="H432" t="s">
        <v>78</v>
      </c>
      <c r="I432" t="str">
        <f>"CARROLL"</f>
        <v>CARROLL</v>
      </c>
      <c r="J432" t="str">
        <f>"THONGYAI"</f>
        <v>THONGYAI</v>
      </c>
      <c r="K432" t="str">
        <f>"T"</f>
        <v>T</v>
      </c>
      <c r="L432" t="str">
        <f>"CORPORATE PRESIDENT"</f>
        <v>CORPORATE PRESIDENT</v>
      </c>
      <c r="M432" t="str">
        <f>"P.O. BOX 502720"</f>
        <v>P.O. BOX 502720</v>
      </c>
      <c r="N432" t="str">
        <f>""</f>
        <v/>
      </c>
      <c r="O432" t="str">
        <f>"SAIPAN"</f>
        <v>SAIPAN</v>
      </c>
      <c r="P432" t="str">
        <f t="shared" si="242"/>
        <v>MP</v>
      </c>
      <c r="Q432" s="4" t="str">
        <f t="shared" si="250"/>
        <v>96950</v>
      </c>
      <c r="R432" t="str">
        <f t="shared" si="236"/>
        <v>UNITED STATES OF AMERICA</v>
      </c>
      <c r="S432" t="str">
        <f>""</f>
        <v/>
      </c>
      <c r="T432" s="5" t="str">
        <f>"16704831673"</f>
        <v>16704831673</v>
      </c>
      <c r="U432" t="str">
        <f>""</f>
        <v/>
      </c>
      <c r="V432" s="5" t="str">
        <f>""</f>
        <v/>
      </c>
      <c r="W432" t="str">
        <f>"waree670@gmail.com"</f>
        <v>waree670@gmail.com</v>
      </c>
      <c r="X432" t="str">
        <f>"MARIANAS TAXI CORPORATION"</f>
        <v>MARIANAS TAXI CORPORATION</v>
      </c>
      <c r="Y432" t="str">
        <f>"WAREE THAI SPA"</f>
        <v>WAREE THAI SPA</v>
      </c>
      <c r="Z432" t="str">
        <f>"P.O. BOX 502720"</f>
        <v>P.O. BOX 502720</v>
      </c>
      <c r="AA432" t="str">
        <f>""</f>
        <v/>
      </c>
      <c r="AB432" t="str">
        <f>"SAIPAN"</f>
        <v>SAIPAN</v>
      </c>
      <c r="AC432" t="str">
        <f t="shared" si="249"/>
        <v>MP</v>
      </c>
      <c r="AD432" t="str">
        <f t="shared" si="251"/>
        <v>96950</v>
      </c>
      <c r="AE432" t="str">
        <f t="shared" si="238"/>
        <v>UNITED STATES OF AMERICA</v>
      </c>
      <c r="AF432" t="str">
        <f>""</f>
        <v/>
      </c>
      <c r="AG432" s="4" t="str">
        <f>"16704831673"</f>
        <v>16704831673</v>
      </c>
      <c r="AH432" t="str">
        <f>""</f>
        <v/>
      </c>
      <c r="AI432" t="str">
        <f>"81219"</f>
        <v>81219</v>
      </c>
      <c r="AJ432" t="s">
        <v>79</v>
      </c>
      <c r="AK432" t="s">
        <v>79</v>
      </c>
      <c r="AL432" t="s">
        <v>80</v>
      </c>
      <c r="AM432" t="s">
        <v>79</v>
      </c>
      <c r="AP432" t="str">
        <f>"ESTHETICIAN"</f>
        <v>ESTHETICIAN</v>
      </c>
      <c r="AQ432" t="str">
        <f>"39-5094.00"</f>
        <v>39-5094.00</v>
      </c>
      <c r="AR432" t="str">
        <f>"Skincare Specialists"</f>
        <v>Skincare Specialists</v>
      </c>
      <c r="AS432" t="str">
        <f>"MANAGER"</f>
        <v>MANAGER</v>
      </c>
      <c r="AT432" t="s">
        <v>79</v>
      </c>
      <c r="AU432" t="str">
        <f>""</f>
        <v/>
      </c>
      <c r="AV432" t="str">
        <f>""</f>
        <v/>
      </c>
      <c r="AW432" t="s">
        <v>79</v>
      </c>
      <c r="AX432" t="str">
        <f>""</f>
        <v/>
      </c>
      <c r="AY432" t="s">
        <v>84</v>
      </c>
      <c r="BA432" t="s">
        <v>80</v>
      </c>
      <c r="BB432" t="s">
        <v>79</v>
      </c>
      <c r="BD432" t="s">
        <v>79</v>
      </c>
      <c r="BG432" t="s">
        <v>82</v>
      </c>
      <c r="BH432">
        <v>24</v>
      </c>
      <c r="BI432" t="s">
        <v>520</v>
      </c>
      <c r="BJ432" t="s">
        <v>521</v>
      </c>
      <c r="BK432" t="str">
        <f>"WAREE THAI SPA CHALAN LAULAU "</f>
        <v xml:space="preserve">WAREE THAI SPA CHALAN LAULAU </v>
      </c>
      <c r="BL432" t="str">
        <f>"GUALO RAI"</f>
        <v>GUALO RAI</v>
      </c>
      <c r="BM432" t="str">
        <f>"SAIPAN"</f>
        <v>SAIPAN</v>
      </c>
      <c r="BO432" t="s">
        <v>83</v>
      </c>
      <c r="BP432" s="4" t="str">
        <f t="shared" si="252"/>
        <v>96950</v>
      </c>
      <c r="BQ432" t="s">
        <v>79</v>
      </c>
      <c r="BR432" t="str">
        <f>"39-5094.00"</f>
        <v>39-5094.00</v>
      </c>
      <c r="BS432" t="s">
        <v>522</v>
      </c>
      <c r="BT432" s="3">
        <v>13.63</v>
      </c>
      <c r="BU432" t="s">
        <v>80</v>
      </c>
      <c r="BV432" t="s">
        <v>90</v>
      </c>
      <c r="BW432" t="s">
        <v>265</v>
      </c>
      <c r="BZ432" s="1">
        <v>45107</v>
      </c>
    </row>
    <row r="433" spans="1:78" ht="15" customHeight="1" x14ac:dyDescent="0.25">
      <c r="A433" t="s">
        <v>475</v>
      </c>
      <c r="B433" t="s">
        <v>94</v>
      </c>
      <c r="C433" s="1">
        <v>44822</v>
      </c>
      <c r="D433" s="1">
        <v>44865</v>
      </c>
      <c r="H433" t="s">
        <v>78</v>
      </c>
      <c r="I433" t="str">
        <f>"TA"</f>
        <v>TA</v>
      </c>
      <c r="J433" t="str">
        <f>"KUY"</f>
        <v>KUY</v>
      </c>
      <c r="K433" t="str">
        <f>"BUN"</f>
        <v>BUN</v>
      </c>
      <c r="L433" t="str">
        <f>"670-233-2288"</f>
        <v>670-233-2288</v>
      </c>
      <c r="M433" t="str">
        <f>"BEACH ROAD, GARAPAN, 2nd FLR OF DOLLAR DAYS WHOLESALE"</f>
        <v>BEACH ROAD, GARAPAN, 2nd FLR OF DOLLAR DAYS WHOLESALE</v>
      </c>
      <c r="N433" t="str">
        <f>"PO BOX 501328"</f>
        <v>PO BOX 501328</v>
      </c>
      <c r="O433" t="str">
        <f>"saipan"</f>
        <v>saipan</v>
      </c>
      <c r="P433" t="str">
        <f t="shared" si="242"/>
        <v>MP</v>
      </c>
      <c r="Q433" s="4" t="str">
        <f t="shared" si="250"/>
        <v>96950</v>
      </c>
      <c r="R433" t="str">
        <f t="shared" si="236"/>
        <v>UNITED STATES OF AMERICA</v>
      </c>
      <c r="S433" t="str">
        <f>""</f>
        <v/>
      </c>
      <c r="T433" s="5" t="str">
        <f>"16702332288"</f>
        <v>16702332288</v>
      </c>
      <c r="U433" t="str">
        <f>""</f>
        <v/>
      </c>
      <c r="V433" s="5" t="str">
        <f>""</f>
        <v/>
      </c>
      <c r="W433" t="str">
        <f>"micprt@gmail.com"</f>
        <v>micprt@gmail.com</v>
      </c>
      <c r="X433" t="str">
        <f>"KENBENTTON INTERNATIONAL, INC."</f>
        <v>KENBENTTON INTERNATIONAL, INC.</v>
      </c>
      <c r="Y433" t="str">
        <f>"SERENITY SALON &amp; SPA"</f>
        <v>SERENITY SALON &amp; SPA</v>
      </c>
      <c r="Z433" t="str">
        <f>"BEACH ROAD, GARAPAN, 2nd FLR OF DOLLAR DAYS WHOLESALE"</f>
        <v>BEACH ROAD, GARAPAN, 2nd FLR OF DOLLAR DAYS WHOLESALE</v>
      </c>
      <c r="AA433" t="str">
        <f>"PO BOX 501328"</f>
        <v>PO BOX 501328</v>
      </c>
      <c r="AB433" t="str">
        <f>"saipan"</f>
        <v>saipan</v>
      </c>
      <c r="AC433" t="str">
        <f t="shared" si="249"/>
        <v>MP</v>
      </c>
      <c r="AD433" t="str">
        <f t="shared" si="251"/>
        <v>96950</v>
      </c>
      <c r="AE433" t="str">
        <f t="shared" si="238"/>
        <v>UNITED STATES OF AMERICA</v>
      </c>
      <c r="AF433" t="str">
        <f>""</f>
        <v/>
      </c>
      <c r="AG433" s="4" t="str">
        <f>"16702332288"</f>
        <v>16702332288</v>
      </c>
      <c r="AH433" t="str">
        <f>""</f>
        <v/>
      </c>
      <c r="AI433" t="str">
        <f>"812112"</f>
        <v>812112</v>
      </c>
      <c r="AJ433" t="s">
        <v>79</v>
      </c>
      <c r="AK433" t="s">
        <v>79</v>
      </c>
      <c r="AL433" t="s">
        <v>80</v>
      </c>
      <c r="AM433" t="s">
        <v>79</v>
      </c>
      <c r="AP433" t="str">
        <f>"COSMETOLOGIST"</f>
        <v>COSMETOLOGIST</v>
      </c>
      <c r="AQ433" t="str">
        <f>"39-5012.00"</f>
        <v>39-5012.00</v>
      </c>
      <c r="AR433" t="str">
        <f>"Hairdressers, Hairstylists, and Cosmetologists"</f>
        <v>Hairdressers, Hairstylists, and Cosmetologists</v>
      </c>
      <c r="AS433" t="str">
        <f>"PRESIDENT"</f>
        <v>PRESIDENT</v>
      </c>
      <c r="AT433" t="s">
        <v>79</v>
      </c>
      <c r="AU433" t="str">
        <f>""</f>
        <v/>
      </c>
      <c r="AV433" t="str">
        <f>""</f>
        <v/>
      </c>
      <c r="AW433" t="s">
        <v>79</v>
      </c>
      <c r="AX433" t="str">
        <f>""</f>
        <v/>
      </c>
      <c r="AY433" t="s">
        <v>84</v>
      </c>
      <c r="BA433" t="s">
        <v>80</v>
      </c>
      <c r="BB433" t="s">
        <v>79</v>
      </c>
      <c r="BD433" t="s">
        <v>79</v>
      </c>
      <c r="BG433" t="s">
        <v>82</v>
      </c>
      <c r="BH433">
        <v>12</v>
      </c>
      <c r="BI433" t="s">
        <v>476</v>
      </c>
      <c r="BJ433" t="s">
        <v>115</v>
      </c>
      <c r="BK433" t="str">
        <f>"BEACH ROAD, GARAPAN, 2nd FLR OF DOLLAR DAYS WHOLESALE"</f>
        <v>BEACH ROAD, GARAPAN, 2nd FLR OF DOLLAR DAYS WHOLESALE</v>
      </c>
      <c r="BL433" t="str">
        <f>"PO BOX 501328"</f>
        <v>PO BOX 501328</v>
      </c>
      <c r="BM433" t="str">
        <f>"SAIPAN"</f>
        <v>SAIPAN</v>
      </c>
      <c r="BO433" t="s">
        <v>83</v>
      </c>
      <c r="BP433" s="4" t="str">
        <f t="shared" si="252"/>
        <v>96950</v>
      </c>
      <c r="BQ433" t="s">
        <v>79</v>
      </c>
      <c r="BR433" t="str">
        <f>"39-5012.00"</f>
        <v>39-5012.00</v>
      </c>
      <c r="BS433" t="s">
        <v>184</v>
      </c>
      <c r="BT433" s="3">
        <v>7.88</v>
      </c>
      <c r="BU433" t="s">
        <v>80</v>
      </c>
      <c r="BV433" t="s">
        <v>90</v>
      </c>
      <c r="BW433" t="s">
        <v>92</v>
      </c>
      <c r="BZ433" s="1">
        <v>45107</v>
      </c>
    </row>
    <row r="434" spans="1:78" ht="15" customHeight="1" x14ac:dyDescent="0.25">
      <c r="A434" t="s">
        <v>458</v>
      </c>
      <c r="B434" t="s">
        <v>94</v>
      </c>
      <c r="C434" s="1">
        <v>44820</v>
      </c>
      <c r="D434" s="1">
        <v>44865</v>
      </c>
      <c r="H434" t="s">
        <v>78</v>
      </c>
      <c r="I434" t="str">
        <f>"MENDIOLA-LONG"</f>
        <v>MENDIOLA-LONG</v>
      </c>
      <c r="J434" t="str">
        <f>"PHILLIP"</f>
        <v>PHILLIP</v>
      </c>
      <c r="K434" t="str">
        <f>"THOMAS"</f>
        <v>THOMAS</v>
      </c>
      <c r="L434" t="str">
        <f>"CHIEF EXECUTIVE OFFICER"</f>
        <v>CHIEF EXECUTIVE OFFICER</v>
      </c>
      <c r="M434" t="str">
        <f>"SAN JOSE VILLAGE"</f>
        <v>SAN JOSE VILLAGE</v>
      </c>
      <c r="N434" t="str">
        <f>"PO BOX 520800"</f>
        <v>PO BOX 520800</v>
      </c>
      <c r="O434" t="str">
        <f>"TINIAN"</f>
        <v>TINIAN</v>
      </c>
      <c r="P434" t="str">
        <f>"NA"</f>
        <v>NA</v>
      </c>
      <c r="Q434" s="4" t="str">
        <f>"96952"</f>
        <v>96952</v>
      </c>
      <c r="R434" t="str">
        <f t="shared" si="236"/>
        <v>UNITED STATES OF AMERICA</v>
      </c>
      <c r="S434" t="str">
        <f>"N/A"</f>
        <v>N/A</v>
      </c>
      <c r="T434" s="5" t="str">
        <f>"16709894711"</f>
        <v>16709894711</v>
      </c>
      <c r="U434" t="str">
        <f>""</f>
        <v/>
      </c>
      <c r="V434" s="5" t="str">
        <f>""</f>
        <v/>
      </c>
      <c r="W434" t="str">
        <f>"jobs@tinianservice.com"</f>
        <v>jobs@tinianservice.com</v>
      </c>
      <c r="X434" t="str">
        <f>"TINIAN FUEL SERVICES, INC."</f>
        <v>TINIAN FUEL SERVICES, INC.</v>
      </c>
      <c r="Y434" t="str">
        <f>"TINIAN LANDSCAPING AND CUSTODIAL SERVICES; TLC GENERAL CONTRACTOR"</f>
        <v>TINIAN LANDSCAPING AND CUSTODIAL SERVICES; TLC GENERAL CONTRACTOR</v>
      </c>
      <c r="Z434" t="str">
        <f>"SAN JOSE VILLAGE"</f>
        <v>SAN JOSE VILLAGE</v>
      </c>
      <c r="AA434" t="str">
        <f>"PO BOX 520800"</f>
        <v>PO BOX 520800</v>
      </c>
      <c r="AB434" t="str">
        <f>"TINIAN"</f>
        <v>TINIAN</v>
      </c>
      <c r="AC434" t="str">
        <f t="shared" si="249"/>
        <v>MP</v>
      </c>
      <c r="AD434" t="str">
        <f>"96952"</f>
        <v>96952</v>
      </c>
      <c r="AE434" t="str">
        <f t="shared" si="238"/>
        <v>UNITED STATES OF AMERICA</v>
      </c>
      <c r="AF434" t="str">
        <f>"N/A"</f>
        <v>N/A</v>
      </c>
      <c r="AG434" s="4" t="str">
        <f>"16704334428"</f>
        <v>16704334428</v>
      </c>
      <c r="AH434" t="str">
        <f>""</f>
        <v/>
      </c>
      <c r="AI434" t="str">
        <f>"44711"</f>
        <v>44711</v>
      </c>
      <c r="AJ434" t="s">
        <v>79</v>
      </c>
      <c r="AK434" t="s">
        <v>79</v>
      </c>
      <c r="AL434" t="s">
        <v>80</v>
      </c>
      <c r="AM434" t="s">
        <v>79</v>
      </c>
      <c r="AP434" t="str">
        <f>"OPERATIONS MANAGER"</f>
        <v>OPERATIONS MANAGER</v>
      </c>
      <c r="AQ434" t="str">
        <f>"11-1021.00"</f>
        <v>11-1021.00</v>
      </c>
      <c r="AR434" t="str">
        <f>"General and Operations Managers"</f>
        <v>General and Operations Managers</v>
      </c>
      <c r="AS434" t="str">
        <f>"N/A"</f>
        <v>N/A</v>
      </c>
      <c r="AT434" t="s">
        <v>82</v>
      </c>
      <c r="AU434" t="str">
        <f>"10"</f>
        <v>10</v>
      </c>
      <c r="AV434" t="str">
        <f>"Subordinate"</f>
        <v>Subordinate</v>
      </c>
      <c r="AW434" t="s">
        <v>79</v>
      </c>
      <c r="AX434" t="str">
        <f>""</f>
        <v/>
      </c>
      <c r="AY434" t="s">
        <v>95</v>
      </c>
      <c r="BA434" t="s">
        <v>459</v>
      </c>
      <c r="BB434" t="s">
        <v>79</v>
      </c>
      <c r="BD434" t="s">
        <v>82</v>
      </c>
      <c r="BE434">
        <v>12</v>
      </c>
      <c r="BF434" t="s">
        <v>460</v>
      </c>
      <c r="BG434" t="s">
        <v>82</v>
      </c>
      <c r="BH434">
        <v>24</v>
      </c>
      <c r="BI434" t="s">
        <v>461</v>
      </c>
      <c r="BJ434" t="s">
        <v>462</v>
      </c>
      <c r="BK434" t="str">
        <f>"SAN JOSE VILLAGE"</f>
        <v>SAN JOSE VILLAGE</v>
      </c>
      <c r="BL434" t="str">
        <f>"PO BOX 520800"</f>
        <v>PO BOX 520800</v>
      </c>
      <c r="BM434" t="str">
        <f>"TINIAN"</f>
        <v>TINIAN</v>
      </c>
      <c r="BO434" t="s">
        <v>83</v>
      </c>
      <c r="BP434" s="4" t="str">
        <f>"96952"</f>
        <v>96952</v>
      </c>
      <c r="BQ434" t="s">
        <v>79</v>
      </c>
      <c r="BR434" t="str">
        <f>"49-1011.00"</f>
        <v>49-1011.00</v>
      </c>
      <c r="BS434" t="s">
        <v>463</v>
      </c>
      <c r="BT434" s="3">
        <v>23.35</v>
      </c>
      <c r="BU434" t="s">
        <v>80</v>
      </c>
      <c r="BV434" t="s">
        <v>90</v>
      </c>
      <c r="BW434" t="s">
        <v>464</v>
      </c>
      <c r="BZ434" s="1">
        <v>45107</v>
      </c>
    </row>
    <row r="435" spans="1:78" ht="15" customHeight="1" x14ac:dyDescent="0.25">
      <c r="A435" t="s">
        <v>467</v>
      </c>
      <c r="B435" t="s">
        <v>94</v>
      </c>
      <c r="C435" s="1">
        <v>44820</v>
      </c>
      <c r="D435" s="1">
        <v>44865</v>
      </c>
      <c r="H435" t="s">
        <v>78</v>
      </c>
      <c r="I435" t="str">
        <f>"MENDIOLA-LONG"</f>
        <v>MENDIOLA-LONG</v>
      </c>
      <c r="J435" t="str">
        <f>"PHILLIP"</f>
        <v>PHILLIP</v>
      </c>
      <c r="K435" t="str">
        <f>"THOMAS"</f>
        <v>THOMAS</v>
      </c>
      <c r="L435" t="str">
        <f>"CHIEF EXECUTIVE OFFICER"</f>
        <v>CHIEF EXECUTIVE OFFICER</v>
      </c>
      <c r="M435" t="str">
        <f>"SAN JOSE VILLAGE"</f>
        <v>SAN JOSE VILLAGE</v>
      </c>
      <c r="N435" t="str">
        <f>"PO BOX 520800"</f>
        <v>PO BOX 520800</v>
      </c>
      <c r="O435" t="str">
        <f>"TINIAN"</f>
        <v>TINIAN</v>
      </c>
      <c r="P435" t="str">
        <f>"MP"</f>
        <v>MP</v>
      </c>
      <c r="Q435" s="4" t="str">
        <f>"96952"</f>
        <v>96952</v>
      </c>
      <c r="R435" t="str">
        <f t="shared" si="236"/>
        <v>UNITED STATES OF AMERICA</v>
      </c>
      <c r="S435" t="str">
        <f>"N/A"</f>
        <v>N/A</v>
      </c>
      <c r="T435" s="5" t="str">
        <f>"16709894711"</f>
        <v>16709894711</v>
      </c>
      <c r="U435" t="str">
        <f>""</f>
        <v/>
      </c>
      <c r="V435" s="5" t="str">
        <f>""</f>
        <v/>
      </c>
      <c r="W435" t="str">
        <f>"jobs@tinianservice.com"</f>
        <v>jobs@tinianservice.com</v>
      </c>
      <c r="X435" t="str">
        <f>"TINIAN FUEL SERVICES, INC."</f>
        <v>TINIAN FUEL SERVICES, INC.</v>
      </c>
      <c r="Y435" t="str">
        <f>"TINIAN LANDSCAPING AND CUSTODIAL SERVICES; TLC GENERAL CONTRACTOR"</f>
        <v>TINIAN LANDSCAPING AND CUSTODIAL SERVICES; TLC GENERAL CONTRACTOR</v>
      </c>
      <c r="Z435" t="str">
        <f>"SAN JOSE VILLAGE"</f>
        <v>SAN JOSE VILLAGE</v>
      </c>
      <c r="AA435" t="str">
        <f>"PO BOX 520800"</f>
        <v>PO BOX 520800</v>
      </c>
      <c r="AB435" t="str">
        <f>"TINIAN"</f>
        <v>TINIAN</v>
      </c>
      <c r="AC435" t="str">
        <f t="shared" si="249"/>
        <v>MP</v>
      </c>
      <c r="AD435" t="str">
        <f>"96952"</f>
        <v>96952</v>
      </c>
      <c r="AE435" t="str">
        <f t="shared" si="238"/>
        <v>UNITED STATES OF AMERICA</v>
      </c>
      <c r="AF435" t="str">
        <f>"N/A"</f>
        <v>N/A</v>
      </c>
      <c r="AG435" s="4" t="str">
        <f>"16704334428"</f>
        <v>16704334428</v>
      </c>
      <c r="AH435" t="str">
        <f>""</f>
        <v/>
      </c>
      <c r="AI435" t="str">
        <f>"447110"</f>
        <v>447110</v>
      </c>
      <c r="AJ435" t="s">
        <v>79</v>
      </c>
      <c r="AK435" t="s">
        <v>79</v>
      </c>
      <c r="AL435" t="s">
        <v>80</v>
      </c>
      <c r="AM435" t="s">
        <v>79</v>
      </c>
      <c r="AP435" t="str">
        <f>"SALES MANAGER"</f>
        <v>SALES MANAGER</v>
      </c>
      <c r="AQ435" t="str">
        <f>"11-2022.00"</f>
        <v>11-2022.00</v>
      </c>
      <c r="AR435" t="str">
        <f>"Sales Managers"</f>
        <v>Sales Managers</v>
      </c>
      <c r="AS435" t="str">
        <f>"N/A"</f>
        <v>N/A</v>
      </c>
      <c r="AT435" t="s">
        <v>82</v>
      </c>
      <c r="AU435" t="str">
        <f>"8"</f>
        <v>8</v>
      </c>
      <c r="AV435" t="str">
        <f>"Subordinate"</f>
        <v>Subordinate</v>
      </c>
      <c r="AW435" t="s">
        <v>79</v>
      </c>
      <c r="AX435" t="str">
        <f>""</f>
        <v/>
      </c>
      <c r="AY435" t="s">
        <v>95</v>
      </c>
      <c r="BA435" t="s">
        <v>468</v>
      </c>
      <c r="BB435" t="s">
        <v>79</v>
      </c>
      <c r="BD435" t="s">
        <v>82</v>
      </c>
      <c r="BE435">
        <v>12</v>
      </c>
      <c r="BF435" t="s">
        <v>460</v>
      </c>
      <c r="BG435" t="s">
        <v>82</v>
      </c>
      <c r="BH435">
        <v>12</v>
      </c>
      <c r="BI435" t="s">
        <v>461</v>
      </c>
      <c r="BJ435" t="s">
        <v>469</v>
      </c>
      <c r="BK435" t="str">
        <f>"SAN JOSE VILLAGE"</f>
        <v>SAN JOSE VILLAGE</v>
      </c>
      <c r="BL435" t="str">
        <f>"PO BOX 520800"</f>
        <v>PO BOX 520800</v>
      </c>
      <c r="BM435" t="str">
        <f>"TINIAN"</f>
        <v>TINIAN</v>
      </c>
      <c r="BO435" t="s">
        <v>83</v>
      </c>
      <c r="BP435" s="4" t="str">
        <f>"96952"</f>
        <v>96952</v>
      </c>
      <c r="BQ435" t="s">
        <v>79</v>
      </c>
      <c r="BR435" t="str">
        <f>"11-2022.00"</f>
        <v>11-2022.00</v>
      </c>
      <c r="BS435" t="s">
        <v>470</v>
      </c>
      <c r="BT435" s="3">
        <v>16.7</v>
      </c>
      <c r="BU435" t="s">
        <v>80</v>
      </c>
      <c r="BV435" t="s">
        <v>90</v>
      </c>
      <c r="BW435" t="s">
        <v>92</v>
      </c>
      <c r="BZ435" s="1">
        <v>45107</v>
      </c>
    </row>
    <row r="436" spans="1:78" ht="15" customHeight="1" x14ac:dyDescent="0.25">
      <c r="A436" t="s">
        <v>471</v>
      </c>
      <c r="B436" t="s">
        <v>94</v>
      </c>
      <c r="C436" s="1">
        <v>44820</v>
      </c>
      <c r="D436" s="1">
        <v>44865</v>
      </c>
      <c r="H436" t="s">
        <v>78</v>
      </c>
      <c r="I436" t="str">
        <f>"NAVARRO"</f>
        <v>NAVARRO</v>
      </c>
      <c r="J436" t="str">
        <f>"MARY ANN"</f>
        <v>MARY ANN</v>
      </c>
      <c r="K436" t="str">
        <f>"MERCADO"</f>
        <v>MERCADO</v>
      </c>
      <c r="L436" t="str">
        <f>"AUTHORIZED REPRESENTATIVE"</f>
        <v>AUTHORIZED REPRESENTATIVE</v>
      </c>
      <c r="M436" t="str">
        <f>"TEXAS ROAD CHALAN KANOA VILLAGE"</f>
        <v>TEXAS ROAD CHALAN KANOA VILLAGE</v>
      </c>
      <c r="N436" t="str">
        <f>"PO BOX 503944"</f>
        <v>PO BOX 503944</v>
      </c>
      <c r="O436" t="str">
        <f>"SAIPAN"</f>
        <v>SAIPAN</v>
      </c>
      <c r="P436" t="str">
        <f>"MP"</f>
        <v>MP</v>
      </c>
      <c r="Q436" s="4" t="str">
        <f>"96950"</f>
        <v>96950</v>
      </c>
      <c r="R436" t="str">
        <f t="shared" si="236"/>
        <v>UNITED STATES OF AMERICA</v>
      </c>
      <c r="S436" t="str">
        <f>"N/A"</f>
        <v>N/A</v>
      </c>
      <c r="T436" s="5" t="str">
        <f>"16707836993"</f>
        <v>16707836993</v>
      </c>
      <c r="U436" t="str">
        <f>"0"</f>
        <v>0</v>
      </c>
      <c r="V436" s="5" t="str">
        <f>""</f>
        <v/>
      </c>
      <c r="W436" t="str">
        <f>"smj.saipan@gmail.com"</f>
        <v>smj.saipan@gmail.com</v>
      </c>
      <c r="X436" t="str">
        <f>"SMJ CORPORATION"</f>
        <v>SMJ CORPORATION</v>
      </c>
      <c r="Y436" t="str">
        <f>"MJ ROADSIDE VENDOR"</f>
        <v>MJ ROADSIDE VENDOR</v>
      </c>
      <c r="Z436" t="str">
        <f>"TEXAS ROAD CHALAN KANOA VILLAGE"</f>
        <v>TEXAS ROAD CHALAN KANOA VILLAGE</v>
      </c>
      <c r="AA436" t="str">
        <f>"PO BOX 503944"</f>
        <v>PO BOX 503944</v>
      </c>
      <c r="AB436" t="str">
        <f>"SAIPAN"</f>
        <v>SAIPAN</v>
      </c>
      <c r="AC436" t="str">
        <f t="shared" si="249"/>
        <v>MP</v>
      </c>
      <c r="AD436" t="str">
        <f t="shared" ref="AD436:AD448" si="253">"96950"</f>
        <v>96950</v>
      </c>
      <c r="AE436" t="str">
        <f t="shared" si="238"/>
        <v>UNITED STATES OF AMERICA</v>
      </c>
      <c r="AF436" t="str">
        <f>"N/A"</f>
        <v>N/A</v>
      </c>
      <c r="AG436" s="4" t="str">
        <f>"16707836993"</f>
        <v>16707836993</v>
      </c>
      <c r="AH436" t="str">
        <f>"0"</f>
        <v>0</v>
      </c>
      <c r="AI436" t="str">
        <f>"44522"</f>
        <v>44522</v>
      </c>
      <c r="AJ436" t="s">
        <v>79</v>
      </c>
      <c r="AK436" t="s">
        <v>79</v>
      </c>
      <c r="AL436" t="s">
        <v>80</v>
      </c>
      <c r="AM436" t="s">
        <v>79</v>
      </c>
      <c r="AP436" t="str">
        <f>"SALES REPRESENTATIVE"</f>
        <v>SALES REPRESENTATIVE</v>
      </c>
      <c r="AQ436" t="str">
        <f>"41-4012.00"</f>
        <v>41-4012.00</v>
      </c>
      <c r="AR436" t="str">
        <f>"Sales Representatives, Wholesale and Manufacturing, Except Technical and Scientific Products"</f>
        <v>Sales Representatives, Wholesale and Manufacturing, Except Technical and Scientific Products</v>
      </c>
      <c r="AS436" t="str">
        <f>""</f>
        <v/>
      </c>
      <c r="AT436" t="s">
        <v>79</v>
      </c>
      <c r="AU436" t="str">
        <f>""</f>
        <v/>
      </c>
      <c r="AV436" t="str">
        <f>""</f>
        <v/>
      </c>
      <c r="AW436" t="s">
        <v>79</v>
      </c>
      <c r="AX436" t="str">
        <f>""</f>
        <v/>
      </c>
      <c r="AY436" t="s">
        <v>84</v>
      </c>
      <c r="BA436" t="s">
        <v>80</v>
      </c>
      <c r="BB436" t="s">
        <v>79</v>
      </c>
      <c r="BD436" t="s">
        <v>79</v>
      </c>
      <c r="BG436" t="s">
        <v>82</v>
      </c>
      <c r="BH436">
        <v>24</v>
      </c>
      <c r="BI436" t="s">
        <v>472</v>
      </c>
      <c r="BJ436" t="s">
        <v>473</v>
      </c>
      <c r="BK436" t="str">
        <f>"TEXAS ROAD CHALAN KANOA VILLAGE"</f>
        <v>TEXAS ROAD CHALAN KANOA VILLAGE</v>
      </c>
      <c r="BL436" t="str">
        <f>"PO BOX 503944"</f>
        <v>PO BOX 503944</v>
      </c>
      <c r="BM436" t="str">
        <f>"SAIPAN"</f>
        <v>SAIPAN</v>
      </c>
      <c r="BO436" t="s">
        <v>83</v>
      </c>
      <c r="BP436" s="4" t="str">
        <f t="shared" ref="BP436:BP446" si="254">"96950"</f>
        <v>96950</v>
      </c>
      <c r="BQ436" t="s">
        <v>79</v>
      </c>
      <c r="BR436" t="str">
        <f>"41-4012.00"</f>
        <v>41-4012.00</v>
      </c>
      <c r="BS436" t="s">
        <v>474</v>
      </c>
      <c r="BT436" s="3">
        <v>8.81</v>
      </c>
      <c r="BU436" t="s">
        <v>80</v>
      </c>
      <c r="BV436" t="s">
        <v>90</v>
      </c>
      <c r="BW436" t="s">
        <v>92</v>
      </c>
      <c r="BZ436" s="1">
        <v>45107</v>
      </c>
    </row>
    <row r="437" spans="1:78" ht="15" customHeight="1" x14ac:dyDescent="0.25">
      <c r="A437" t="s">
        <v>429</v>
      </c>
      <c r="B437" t="s">
        <v>94</v>
      </c>
      <c r="C437" s="1">
        <v>44818</v>
      </c>
      <c r="D437" s="1">
        <v>44858</v>
      </c>
      <c r="H437" t="s">
        <v>78</v>
      </c>
      <c r="I437" t="str">
        <f>"Lam"</f>
        <v>Lam</v>
      </c>
      <c r="J437" t="str">
        <f>"Maxine"</f>
        <v>Maxine</v>
      </c>
      <c r="K437" t="str">
        <f>""</f>
        <v/>
      </c>
      <c r="L437" t="str">
        <f>"HR Manager"</f>
        <v>HR Manager</v>
      </c>
      <c r="M437" t="str">
        <f>"Insatto Street, Susupe PO Box 500137"</f>
        <v>Insatto Street, Susupe PO Box 500137</v>
      </c>
      <c r="N437" t="str">
        <f>"Insatto Street, Susupe PO Box 500137"</f>
        <v>Insatto Street, Susupe PO Box 500137</v>
      </c>
      <c r="O437" t="str">
        <f>"Saipan"</f>
        <v>Saipan</v>
      </c>
      <c r="P437" t="str">
        <f>"MP"</f>
        <v>MP</v>
      </c>
      <c r="Q437" s="4" t="str">
        <f>"96950"</f>
        <v>96950</v>
      </c>
      <c r="R437" t="str">
        <f t="shared" si="236"/>
        <v>UNITED STATES OF AMERICA</v>
      </c>
      <c r="S437" t="str">
        <f>""</f>
        <v/>
      </c>
      <c r="T437" s="5" t="str">
        <f>"16702346445"</f>
        <v>16702346445</v>
      </c>
      <c r="U437" t="str">
        <f>"2263"</f>
        <v>2263</v>
      </c>
      <c r="V437" s="5" t="str">
        <f>""</f>
        <v/>
      </c>
      <c r="W437" t="str">
        <f>"hrd@joeten.com"</f>
        <v>hrd@joeten.com</v>
      </c>
      <c r="X437" t="str">
        <f>"J C Tenorio Enterprises Inc"</f>
        <v>J C Tenorio Enterprises Inc</v>
      </c>
      <c r="Y437" t="str">
        <f>""</f>
        <v/>
      </c>
      <c r="Z437" t="str">
        <f>"Flores Rosa Street, Garapan PO Box 500137"</f>
        <v>Flores Rosa Street, Garapan PO Box 500137</v>
      </c>
      <c r="AA437" t="str">
        <f>"Flores Rosa Street, Garapan PO Box 500137"</f>
        <v>Flores Rosa Street, Garapan PO Box 500137</v>
      </c>
      <c r="AB437" t="str">
        <f>"Saipan"</f>
        <v>Saipan</v>
      </c>
      <c r="AC437" t="str">
        <f t="shared" si="249"/>
        <v>MP</v>
      </c>
      <c r="AD437" t="str">
        <f t="shared" si="253"/>
        <v>96950</v>
      </c>
      <c r="AE437" t="str">
        <f t="shared" si="238"/>
        <v>UNITED STATES OF AMERICA</v>
      </c>
      <c r="AF437" t="str">
        <f>""</f>
        <v/>
      </c>
      <c r="AG437" s="4" t="str">
        <f>"16702346445"</f>
        <v>16702346445</v>
      </c>
      <c r="AH437" t="str">
        <f>"2263"</f>
        <v>2263</v>
      </c>
      <c r="AI437" t="str">
        <f>"72251"</f>
        <v>72251</v>
      </c>
      <c r="AJ437" t="s">
        <v>79</v>
      </c>
      <c r="AK437" t="s">
        <v>79</v>
      </c>
      <c r="AL437" t="s">
        <v>80</v>
      </c>
      <c r="AM437" t="s">
        <v>79</v>
      </c>
      <c r="AP437" t="str">
        <f>"Baker"</f>
        <v>Baker</v>
      </c>
      <c r="AQ437" t="str">
        <f>"51-3011.00"</f>
        <v>51-3011.00</v>
      </c>
      <c r="AR437" t="str">
        <f>"Bakers"</f>
        <v>Bakers</v>
      </c>
      <c r="AS437" t="str">
        <f>"Bakers"</f>
        <v>Bakers</v>
      </c>
      <c r="AT437" t="s">
        <v>79</v>
      </c>
      <c r="AU437" t="str">
        <f>""</f>
        <v/>
      </c>
      <c r="AV437" t="str">
        <f>""</f>
        <v/>
      </c>
      <c r="AW437" t="s">
        <v>79</v>
      </c>
      <c r="AX437" t="str">
        <f>""</f>
        <v/>
      </c>
      <c r="AY437" t="s">
        <v>84</v>
      </c>
      <c r="BA437" t="s">
        <v>80</v>
      </c>
      <c r="BB437" t="s">
        <v>79</v>
      </c>
      <c r="BD437" t="s">
        <v>79</v>
      </c>
      <c r="BG437" t="s">
        <v>82</v>
      </c>
      <c r="BH437">
        <v>12</v>
      </c>
      <c r="BI437" t="s">
        <v>430</v>
      </c>
      <c r="BJ437" s="2" t="s">
        <v>431</v>
      </c>
      <c r="BK437" t="str">
        <f>"Flores Rosa Street, Garapan PO Box 500137"</f>
        <v>Flores Rosa Street, Garapan PO Box 500137</v>
      </c>
      <c r="BL437" t="str">
        <f>"Flores Rosa Street, Garapan PO Box 500137"</f>
        <v>Flores Rosa Street, Garapan PO Box 500137</v>
      </c>
      <c r="BM437" t="str">
        <f>"Saipan"</f>
        <v>Saipan</v>
      </c>
      <c r="BO437" t="s">
        <v>83</v>
      </c>
      <c r="BP437" s="4" t="str">
        <f t="shared" si="254"/>
        <v>96950</v>
      </c>
      <c r="BQ437" t="s">
        <v>79</v>
      </c>
      <c r="BR437" t="str">
        <f>"51-3011.00"</f>
        <v>51-3011.00</v>
      </c>
      <c r="BS437" t="s">
        <v>331</v>
      </c>
      <c r="BT437" s="3">
        <v>8.19</v>
      </c>
      <c r="BU437" t="s">
        <v>80</v>
      </c>
      <c r="BV437" t="s">
        <v>90</v>
      </c>
      <c r="BW437" t="s">
        <v>92</v>
      </c>
      <c r="BZ437" s="1">
        <v>45107</v>
      </c>
    </row>
    <row r="438" spans="1:78" ht="15" customHeight="1" x14ac:dyDescent="0.25">
      <c r="A438" t="s">
        <v>432</v>
      </c>
      <c r="B438" t="s">
        <v>94</v>
      </c>
      <c r="C438" s="1">
        <v>44818</v>
      </c>
      <c r="D438" s="1">
        <v>44858</v>
      </c>
      <c r="H438" t="s">
        <v>78</v>
      </c>
      <c r="I438" t="str">
        <f>"RAMOS"</f>
        <v>RAMOS</v>
      </c>
      <c r="J438" t="str">
        <f>"GIA"</f>
        <v>GIA</v>
      </c>
      <c r="K438" t="str">
        <f>"BLANCAFLOR"</f>
        <v>BLANCAFLOR</v>
      </c>
      <c r="L438" t="str">
        <f>"PRESIDENT"</f>
        <v>PRESIDENT</v>
      </c>
      <c r="M438" t="str">
        <f>"PO BOX 9663"</f>
        <v>PO BOX 9663</v>
      </c>
      <c r="N438" t="str">
        <f>""</f>
        <v/>
      </c>
      <c r="O438" t="str">
        <f>"TAMUNING"</f>
        <v>TAMUNING</v>
      </c>
      <c r="P438" t="str">
        <f>"GU"</f>
        <v>GU</v>
      </c>
      <c r="Q438" s="4" t="str">
        <f>"96931"</f>
        <v>96931</v>
      </c>
      <c r="R438" t="str">
        <f t="shared" si="236"/>
        <v>UNITED STATES OF AMERICA</v>
      </c>
      <c r="S438" t="str">
        <f>""</f>
        <v/>
      </c>
      <c r="T438" s="5" t="str">
        <f>"16716498746"</f>
        <v>16716498746</v>
      </c>
      <c r="U438" t="str">
        <f>"203"</f>
        <v>203</v>
      </c>
      <c r="V438" s="5" t="str">
        <f>""</f>
        <v/>
      </c>
      <c r="W438" t="str">
        <f>"admin@hhcare.co"</f>
        <v>admin@hhcare.co</v>
      </c>
      <c r="X438" t="str">
        <f>"TRI ENTERPRISES, INC."</f>
        <v>TRI ENTERPRISES, INC.</v>
      </c>
      <c r="Y438" t="str">
        <f>"Marianas Visiting Nurses"</f>
        <v>Marianas Visiting Nurses</v>
      </c>
      <c r="Z438" t="str">
        <f>"BRI BLDG. KOPA DI ORU ST."</f>
        <v>BRI BLDG. KOPA DI ORU ST.</v>
      </c>
      <c r="AA438" t="str">
        <f>"SUITE 104"</f>
        <v>SUITE 104</v>
      </c>
      <c r="AB438" t="str">
        <f>"SAIPAN"</f>
        <v>SAIPAN</v>
      </c>
      <c r="AC438" t="str">
        <f t="shared" si="249"/>
        <v>MP</v>
      </c>
      <c r="AD438" t="str">
        <f t="shared" si="253"/>
        <v>96950</v>
      </c>
      <c r="AE438" t="str">
        <f t="shared" si="238"/>
        <v>UNITED STATES OF AMERICA</v>
      </c>
      <c r="AF438" t="str">
        <f>""</f>
        <v/>
      </c>
      <c r="AG438" s="4" t="str">
        <f>"16703236877"</f>
        <v>16703236877</v>
      </c>
      <c r="AH438" t="str">
        <f>""</f>
        <v/>
      </c>
      <c r="AI438" t="str">
        <f>"62161"</f>
        <v>62161</v>
      </c>
      <c r="AJ438" t="s">
        <v>79</v>
      </c>
      <c r="AK438" t="s">
        <v>79</v>
      </c>
      <c r="AL438" t="s">
        <v>80</v>
      </c>
      <c r="AM438" t="s">
        <v>79</v>
      </c>
      <c r="AP438" t="str">
        <f>"PHYSICAL THERAPIST ASSISTANT"</f>
        <v>PHYSICAL THERAPIST ASSISTANT</v>
      </c>
      <c r="AQ438" t="str">
        <f>"31-2021.00"</f>
        <v>31-2021.00</v>
      </c>
      <c r="AR438" t="str">
        <f>"Physical Therapist Assistants"</f>
        <v>Physical Therapist Assistants</v>
      </c>
      <c r="AS438" t="str">
        <f>"CLINICAL SUPERVISOR"</f>
        <v>CLINICAL SUPERVISOR</v>
      </c>
      <c r="AT438" t="s">
        <v>79</v>
      </c>
      <c r="AU438" t="str">
        <f>""</f>
        <v/>
      </c>
      <c r="AV438" t="str">
        <f>""</f>
        <v/>
      </c>
      <c r="AW438" t="s">
        <v>82</v>
      </c>
      <c r="AX438" t="str">
        <f>"FROM OFFICE TO PATIENT HOME"</f>
        <v>FROM OFFICE TO PATIENT HOME</v>
      </c>
      <c r="AY438" t="s">
        <v>124</v>
      </c>
      <c r="BA438" t="s">
        <v>433</v>
      </c>
      <c r="BB438" t="s">
        <v>79</v>
      </c>
      <c r="BD438" t="s">
        <v>79</v>
      </c>
      <c r="BG438" t="s">
        <v>79</v>
      </c>
      <c r="BJ438" t="s">
        <v>434</v>
      </c>
      <c r="BK438" t="str">
        <f>"BRI BUILDING KOPA DI ORU ST. GARAPAN"</f>
        <v>BRI BUILDING KOPA DI ORU ST. GARAPAN</v>
      </c>
      <c r="BL438" t="str">
        <f>"SUITE 104"</f>
        <v>SUITE 104</v>
      </c>
      <c r="BM438" t="str">
        <f>"SAIPAN"</f>
        <v>SAIPAN</v>
      </c>
      <c r="BO438" t="s">
        <v>83</v>
      </c>
      <c r="BP438" s="4" t="str">
        <f t="shared" si="254"/>
        <v>96950</v>
      </c>
      <c r="BQ438" t="s">
        <v>79</v>
      </c>
      <c r="BR438" t="str">
        <f>"31-2021.00"</f>
        <v>31-2021.00</v>
      </c>
      <c r="BS438" t="s">
        <v>435</v>
      </c>
      <c r="BT438" s="3">
        <v>19.86</v>
      </c>
      <c r="BU438" t="s">
        <v>80</v>
      </c>
      <c r="BV438" t="s">
        <v>90</v>
      </c>
      <c r="BW438" t="s">
        <v>265</v>
      </c>
      <c r="BZ438" s="1">
        <v>45107</v>
      </c>
    </row>
    <row r="439" spans="1:78" ht="15" customHeight="1" x14ac:dyDescent="0.25">
      <c r="A439" t="s">
        <v>436</v>
      </c>
      <c r="B439" t="s">
        <v>94</v>
      </c>
      <c r="C439" s="1">
        <v>44818</v>
      </c>
      <c r="D439" s="1">
        <v>44858</v>
      </c>
      <c r="H439" t="s">
        <v>78</v>
      </c>
      <c r="I439" t="str">
        <f>"CHO"</f>
        <v>CHO</v>
      </c>
      <c r="J439" t="str">
        <f>"JIN KOO"</f>
        <v>JIN KOO</v>
      </c>
      <c r="K439" t="str">
        <f>""</f>
        <v/>
      </c>
      <c r="L439" t="str">
        <f>"VICE-PRESIDENT"</f>
        <v>VICE-PRESIDENT</v>
      </c>
      <c r="M439" t="str">
        <f>"P.O. BOX 504961"</f>
        <v>P.O. BOX 504961</v>
      </c>
      <c r="N439" t="str">
        <f>""</f>
        <v/>
      </c>
      <c r="O439" t="str">
        <f>"SAIPAN"</f>
        <v>SAIPAN</v>
      </c>
      <c r="P439" t="str">
        <f t="shared" ref="P439:P456" si="255">"MP"</f>
        <v>MP</v>
      </c>
      <c r="Q439" s="4" t="str">
        <f t="shared" ref="Q439:Q448" si="256">"96950"</f>
        <v>96950</v>
      </c>
      <c r="R439" t="str">
        <f t="shared" si="236"/>
        <v>UNITED STATES OF AMERICA</v>
      </c>
      <c r="S439" t="str">
        <f>""</f>
        <v/>
      </c>
      <c r="T439" s="5" t="str">
        <f>"16709898683"</f>
        <v>16709898683</v>
      </c>
      <c r="U439" t="str">
        <f>""</f>
        <v/>
      </c>
      <c r="V439" s="5" t="str">
        <f>""</f>
        <v/>
      </c>
      <c r="W439" t="str">
        <f>"CHO_JINJOOCORP@YAHOO.COM"</f>
        <v>CHO_JINJOOCORP@YAHOO.COM</v>
      </c>
      <c r="X439" t="str">
        <f>"SAIPAN CENTRAL BAPTIST CHURCH, INC."</f>
        <v>SAIPAN CENTRAL BAPTIST CHURCH, INC.</v>
      </c>
      <c r="Y439" t="str">
        <f>""</f>
        <v/>
      </c>
      <c r="Z439" t="str">
        <f>"P.O. BOX 504961"</f>
        <v>P.O. BOX 504961</v>
      </c>
      <c r="AA439" t="str">
        <f>""</f>
        <v/>
      </c>
      <c r="AB439" t="str">
        <f>"SAIPAN"</f>
        <v>SAIPAN</v>
      </c>
      <c r="AC439" t="str">
        <f t="shared" si="249"/>
        <v>MP</v>
      </c>
      <c r="AD439" t="str">
        <f t="shared" si="253"/>
        <v>96950</v>
      </c>
      <c r="AE439" t="str">
        <f t="shared" si="238"/>
        <v>UNITED STATES OF AMERICA</v>
      </c>
      <c r="AF439" t="str">
        <f>""</f>
        <v/>
      </c>
      <c r="AG439" s="4" t="str">
        <f>"16709898683"</f>
        <v>16709898683</v>
      </c>
      <c r="AH439" t="str">
        <f>""</f>
        <v/>
      </c>
      <c r="AI439" t="str">
        <f>"813110"</f>
        <v>813110</v>
      </c>
      <c r="AJ439" t="s">
        <v>79</v>
      </c>
      <c r="AK439" t="s">
        <v>79</v>
      </c>
      <c r="AL439" t="s">
        <v>80</v>
      </c>
      <c r="AM439" t="s">
        <v>79</v>
      </c>
      <c r="AP439" t="str">
        <f>"CHURCH CLERK"</f>
        <v>CHURCH CLERK</v>
      </c>
      <c r="AQ439" t="str">
        <f>"43-9061.00"</f>
        <v>43-9061.00</v>
      </c>
      <c r="AR439" t="str">
        <f>"Office Clerks, General"</f>
        <v>Office Clerks, General</v>
      </c>
      <c r="AS439" t="str">
        <f>""</f>
        <v/>
      </c>
      <c r="AT439" t="s">
        <v>79</v>
      </c>
      <c r="AU439" t="str">
        <f>""</f>
        <v/>
      </c>
      <c r="AV439" t="str">
        <f>""</f>
        <v/>
      </c>
      <c r="AW439" t="s">
        <v>79</v>
      </c>
      <c r="AX439" t="str">
        <f>""</f>
        <v/>
      </c>
      <c r="AY439" t="s">
        <v>84</v>
      </c>
      <c r="BA439" t="s">
        <v>80</v>
      </c>
      <c r="BB439" t="s">
        <v>79</v>
      </c>
      <c r="BD439" t="s">
        <v>79</v>
      </c>
      <c r="BG439" t="s">
        <v>82</v>
      </c>
      <c r="BH439">
        <v>12</v>
      </c>
      <c r="BI439" t="s">
        <v>437</v>
      </c>
      <c r="BJ439" t="s">
        <v>438</v>
      </c>
      <c r="BK439" t="str">
        <f>"AGA PLACE, KANAT TABLA VILLAGE"</f>
        <v>AGA PLACE, KANAT TABLA VILLAGE</v>
      </c>
      <c r="BL439" t="str">
        <f>""</f>
        <v/>
      </c>
      <c r="BM439" t="str">
        <f>"SAIPAN"</f>
        <v>SAIPAN</v>
      </c>
      <c r="BO439" t="s">
        <v>83</v>
      </c>
      <c r="BP439" s="4" t="str">
        <f t="shared" si="254"/>
        <v>96950</v>
      </c>
      <c r="BQ439" t="s">
        <v>79</v>
      </c>
      <c r="BR439" t="str">
        <f>"43-9061.00"</f>
        <v>43-9061.00</v>
      </c>
      <c r="BS439" t="s">
        <v>359</v>
      </c>
      <c r="BT439" s="3">
        <v>14.41</v>
      </c>
      <c r="BU439" t="s">
        <v>80</v>
      </c>
      <c r="BV439" t="s">
        <v>90</v>
      </c>
      <c r="BW439" t="s">
        <v>92</v>
      </c>
      <c r="BZ439" s="1">
        <v>45107</v>
      </c>
    </row>
    <row r="440" spans="1:78" ht="15" customHeight="1" x14ac:dyDescent="0.25">
      <c r="A440" t="s">
        <v>439</v>
      </c>
      <c r="B440" t="s">
        <v>94</v>
      </c>
      <c r="C440" s="1">
        <v>44818</v>
      </c>
      <c r="D440" s="1">
        <v>44858</v>
      </c>
      <c r="H440" t="s">
        <v>78</v>
      </c>
      <c r="I440" t="str">
        <f>"SABLAN"</f>
        <v>SABLAN</v>
      </c>
      <c r="J440" t="str">
        <f>"RUTH"</f>
        <v>RUTH</v>
      </c>
      <c r="K440" t="str">
        <f>"TENORIO"</f>
        <v>TENORIO</v>
      </c>
      <c r="L440" t="str">
        <f>"Secretary/Treasurer"</f>
        <v>Secretary/Treasurer</v>
      </c>
      <c r="M440" t="str">
        <f>"PO Box 500379"</f>
        <v>PO Box 500379</v>
      </c>
      <c r="N440" t="str">
        <f>"NA"</f>
        <v>NA</v>
      </c>
      <c r="O440" t="str">
        <f>"Saipan"</f>
        <v>Saipan</v>
      </c>
      <c r="P440" t="str">
        <f t="shared" si="255"/>
        <v>MP</v>
      </c>
      <c r="Q440" s="4" t="str">
        <f t="shared" si="256"/>
        <v>96950</v>
      </c>
      <c r="R440" t="str">
        <f t="shared" si="236"/>
        <v>UNITED STATES OF AMERICA</v>
      </c>
      <c r="S440" t="str">
        <f>"NA"</f>
        <v>NA</v>
      </c>
      <c r="T440" s="5" t="str">
        <f>"16702346676"</f>
        <v>16702346676</v>
      </c>
      <c r="U440" t="str">
        <f>""</f>
        <v/>
      </c>
      <c r="V440" s="5" t="str">
        <f>""</f>
        <v/>
      </c>
      <c r="W440" t="str">
        <f>"2019ffci@gmail.com"</f>
        <v>2019ffci@gmail.com</v>
      </c>
      <c r="X440" t="str">
        <f>"Friendly Finance Co., Inc."</f>
        <v>Friendly Finance Co., Inc.</v>
      </c>
      <c r="Y440" t="str">
        <f>"NA"</f>
        <v>NA</v>
      </c>
      <c r="Z440" t="str">
        <f>"PO Box 500379"</f>
        <v>PO Box 500379</v>
      </c>
      <c r="AA440" t="str">
        <f>"NA"</f>
        <v>NA</v>
      </c>
      <c r="AB440" t="str">
        <f>"Saipan"</f>
        <v>Saipan</v>
      </c>
      <c r="AC440" t="str">
        <f t="shared" si="249"/>
        <v>MP</v>
      </c>
      <c r="AD440" t="str">
        <f t="shared" si="253"/>
        <v>96950</v>
      </c>
      <c r="AE440" t="str">
        <f t="shared" si="238"/>
        <v>UNITED STATES OF AMERICA</v>
      </c>
      <c r="AF440" t="str">
        <f>"NA"</f>
        <v>NA</v>
      </c>
      <c r="AG440" s="4" t="str">
        <f>"16702346676"</f>
        <v>16702346676</v>
      </c>
      <c r="AH440" t="str">
        <f>""</f>
        <v/>
      </c>
      <c r="AI440" t="str">
        <f>"522291"</f>
        <v>522291</v>
      </c>
      <c r="AJ440" t="s">
        <v>79</v>
      </c>
      <c r="AK440" t="s">
        <v>79</v>
      </c>
      <c r="AL440" t="s">
        <v>80</v>
      </c>
      <c r="AM440" t="s">
        <v>79</v>
      </c>
      <c r="AP440" t="str">
        <f>"Accountant"</f>
        <v>Accountant</v>
      </c>
      <c r="AQ440" t="str">
        <f>"13-2011.00"</f>
        <v>13-2011.00</v>
      </c>
      <c r="AR440" t="str">
        <f>"Accountants and Auditors"</f>
        <v>Accountants and Auditors</v>
      </c>
      <c r="AS440" t="str">
        <f>"Secretary/Treasurer"</f>
        <v>Secretary/Treasurer</v>
      </c>
      <c r="AT440" t="s">
        <v>79</v>
      </c>
      <c r="AU440" t="str">
        <f>""</f>
        <v/>
      </c>
      <c r="AV440" t="str">
        <f>""</f>
        <v/>
      </c>
      <c r="AW440" t="s">
        <v>79</v>
      </c>
      <c r="AX440" t="str">
        <f>""</f>
        <v/>
      </c>
      <c r="AY440" t="s">
        <v>124</v>
      </c>
      <c r="BA440" t="s">
        <v>440</v>
      </c>
      <c r="BB440" t="s">
        <v>79</v>
      </c>
      <c r="BD440" t="s">
        <v>79</v>
      </c>
      <c r="BG440" t="s">
        <v>82</v>
      </c>
      <c r="BH440">
        <v>48</v>
      </c>
      <c r="BI440" t="s">
        <v>131</v>
      </c>
      <c r="BJ440" s="2" t="s">
        <v>441</v>
      </c>
      <c r="BK440" t="str">
        <f>"First Floor Sablan Building, No.1 Gualo Rai Road"</f>
        <v>First Floor Sablan Building, No.1 Gualo Rai Road</v>
      </c>
      <c r="BL440" t="str">
        <f>"NA"</f>
        <v>NA</v>
      </c>
      <c r="BM440" t="str">
        <f>"Saipan"</f>
        <v>Saipan</v>
      </c>
      <c r="BO440" t="s">
        <v>83</v>
      </c>
      <c r="BP440" s="4" t="str">
        <f t="shared" si="254"/>
        <v>96950</v>
      </c>
      <c r="BQ440" t="s">
        <v>79</v>
      </c>
      <c r="BR440" t="str">
        <f>"13-2011.00"</f>
        <v>13-2011.00</v>
      </c>
      <c r="BS440" t="s">
        <v>133</v>
      </c>
      <c r="BT440" s="3">
        <v>16.190000000000001</v>
      </c>
      <c r="BU440" t="s">
        <v>80</v>
      </c>
      <c r="BV440" t="s">
        <v>90</v>
      </c>
      <c r="BW440" t="s">
        <v>92</v>
      </c>
      <c r="BZ440" s="1">
        <v>45107</v>
      </c>
    </row>
    <row r="441" spans="1:78" ht="15" customHeight="1" x14ac:dyDescent="0.25">
      <c r="A441" t="s">
        <v>442</v>
      </c>
      <c r="B441" t="s">
        <v>94</v>
      </c>
      <c r="C441" s="1">
        <v>44818</v>
      </c>
      <c r="D441" s="1">
        <v>44858</v>
      </c>
      <c r="H441" t="s">
        <v>78</v>
      </c>
      <c r="I441" t="str">
        <f>"AVENDANO"</f>
        <v>AVENDANO</v>
      </c>
      <c r="J441" t="str">
        <f>"FIDELISA"</f>
        <v>FIDELISA</v>
      </c>
      <c r="K441" t="str">
        <f>"CAL"</f>
        <v>CAL</v>
      </c>
      <c r="L441" t="str">
        <f>"AUTHORIZED REPRESENTATIVE"</f>
        <v>AUTHORIZED REPRESENTATIVE</v>
      </c>
      <c r="M441" t="str">
        <f>"CHALAN PALE ARNOLD, CHALAN LAU LAU"</f>
        <v>CHALAN PALE ARNOLD, CHALAN LAU LAU</v>
      </c>
      <c r="N441" t="str">
        <f>"P.O. BOX 503024"</f>
        <v>P.O. BOX 503024</v>
      </c>
      <c r="O441" t="str">
        <f>"SAIPAN"</f>
        <v>SAIPAN</v>
      </c>
      <c r="P441" t="str">
        <f t="shared" si="255"/>
        <v>MP</v>
      </c>
      <c r="Q441" s="4" t="str">
        <f t="shared" si="256"/>
        <v>96950</v>
      </c>
      <c r="R441" t="str">
        <f t="shared" si="236"/>
        <v>UNITED STATES OF AMERICA</v>
      </c>
      <c r="S441" t="str">
        <f>"N/A"</f>
        <v>N/A</v>
      </c>
      <c r="T441" s="5" t="str">
        <f>"16702346278"</f>
        <v>16702346278</v>
      </c>
      <c r="U441" t="str">
        <f>""</f>
        <v/>
      </c>
      <c r="V441" s="5" t="str">
        <f>""</f>
        <v/>
      </c>
      <c r="W441" t="str">
        <f>"cnmicw12019@gmail.com"</f>
        <v>cnmicw12019@gmail.com</v>
      </c>
      <c r="X441" t="str">
        <f>"BOSTONIAN, INC."</f>
        <v>BOSTONIAN, INC.</v>
      </c>
      <c r="Y441" t="str">
        <f>"BOSTONIAN"</f>
        <v>BOSTONIAN</v>
      </c>
      <c r="Z441" t="str">
        <f>"CHALAN PALE ARNOLD, CHALAN LAU LAU"</f>
        <v>CHALAN PALE ARNOLD, CHALAN LAU LAU</v>
      </c>
      <c r="AA441" t="str">
        <f>"P.O. BOX 500758"</f>
        <v>P.O. BOX 500758</v>
      </c>
      <c r="AB441" t="str">
        <f>"SAIPAN"</f>
        <v>SAIPAN</v>
      </c>
      <c r="AC441" t="str">
        <f t="shared" si="249"/>
        <v>MP</v>
      </c>
      <c r="AD441" t="str">
        <f t="shared" si="253"/>
        <v>96950</v>
      </c>
      <c r="AE441" t="str">
        <f t="shared" si="238"/>
        <v>UNITED STATES OF AMERICA</v>
      </c>
      <c r="AF441" t="str">
        <f>"N/A"</f>
        <v>N/A</v>
      </c>
      <c r="AG441" s="4" t="str">
        <f>"16702354310"</f>
        <v>16702354310</v>
      </c>
      <c r="AH441" t="str">
        <f>""</f>
        <v/>
      </c>
      <c r="AI441" t="str">
        <f>"31181"</f>
        <v>31181</v>
      </c>
      <c r="AJ441" t="s">
        <v>79</v>
      </c>
      <c r="AK441" t="s">
        <v>79</v>
      </c>
      <c r="AL441" t="s">
        <v>80</v>
      </c>
      <c r="AM441" t="s">
        <v>79</v>
      </c>
      <c r="AP441" t="str">
        <f>"BAKER"</f>
        <v>BAKER</v>
      </c>
      <c r="AQ441" t="str">
        <f>"51-3011.00"</f>
        <v>51-3011.00</v>
      </c>
      <c r="AR441" t="str">
        <f>"Bakers"</f>
        <v>Bakers</v>
      </c>
      <c r="AS441" t="str">
        <f>"PRESIDENT"</f>
        <v>PRESIDENT</v>
      </c>
      <c r="AT441" t="s">
        <v>79</v>
      </c>
      <c r="AU441" t="str">
        <f>""</f>
        <v/>
      </c>
      <c r="AV441" t="str">
        <f>""</f>
        <v/>
      </c>
      <c r="AW441" t="s">
        <v>79</v>
      </c>
      <c r="AX441" t="str">
        <f>""</f>
        <v/>
      </c>
      <c r="AY441" t="s">
        <v>84</v>
      </c>
      <c r="BA441" t="s">
        <v>80</v>
      </c>
      <c r="BB441" t="s">
        <v>79</v>
      </c>
      <c r="BD441" t="s">
        <v>79</v>
      </c>
      <c r="BG441" t="s">
        <v>82</v>
      </c>
      <c r="BH441">
        <v>12</v>
      </c>
      <c r="BI441" t="s">
        <v>443</v>
      </c>
      <c r="BJ441" s="2" t="s">
        <v>444</v>
      </c>
      <c r="BK441" t="str">
        <f>"CHALAN PALE ARNOLD, CHALAN LAU LAU"</f>
        <v>CHALAN PALE ARNOLD, CHALAN LAU LAU</v>
      </c>
      <c r="BL441" t="str">
        <f>"N/A"</f>
        <v>N/A</v>
      </c>
      <c r="BM441" t="str">
        <f>"SAIPAN"</f>
        <v>SAIPAN</v>
      </c>
      <c r="BO441" t="s">
        <v>83</v>
      </c>
      <c r="BP441" s="4" t="str">
        <f t="shared" si="254"/>
        <v>96950</v>
      </c>
      <c r="BQ441" t="s">
        <v>79</v>
      </c>
      <c r="BR441" t="str">
        <f>"51-3011.00"</f>
        <v>51-3011.00</v>
      </c>
      <c r="BS441" t="s">
        <v>331</v>
      </c>
      <c r="BT441" s="3">
        <v>8.19</v>
      </c>
      <c r="BU441" t="s">
        <v>80</v>
      </c>
      <c r="BV441" t="s">
        <v>90</v>
      </c>
      <c r="BW441" t="s">
        <v>92</v>
      </c>
      <c r="BZ441" s="1">
        <v>45107</v>
      </c>
    </row>
    <row r="442" spans="1:78" ht="15" customHeight="1" x14ac:dyDescent="0.25">
      <c r="A442" t="s">
        <v>445</v>
      </c>
      <c r="B442" t="s">
        <v>94</v>
      </c>
      <c r="C442" s="1">
        <v>44818</v>
      </c>
      <c r="D442" s="1">
        <v>44858</v>
      </c>
      <c r="H442" t="s">
        <v>78</v>
      </c>
      <c r="I442" t="str">
        <f>"Saludez"</f>
        <v>Saludez</v>
      </c>
      <c r="J442" t="str">
        <f>"John Gilbert"</f>
        <v>John Gilbert</v>
      </c>
      <c r="K442" t="str">
        <f>"Salvatierra"</f>
        <v>Salvatierra</v>
      </c>
      <c r="L442" t="str">
        <f>"Managing Director"</f>
        <v>Managing Director</v>
      </c>
      <c r="M442" t="str">
        <f>"PO Box 5756 CHRB Chalan Kiya"</f>
        <v>PO Box 5756 CHRB Chalan Kiya</v>
      </c>
      <c r="N442" t="str">
        <f>""</f>
        <v/>
      </c>
      <c r="O442" t="str">
        <f>"Saipan"</f>
        <v>Saipan</v>
      </c>
      <c r="P442" t="str">
        <f t="shared" si="255"/>
        <v>MP</v>
      </c>
      <c r="Q442" s="4" t="str">
        <f t="shared" si="256"/>
        <v>96950</v>
      </c>
      <c r="R442" t="str">
        <f t="shared" si="236"/>
        <v>UNITED STATES OF AMERICA</v>
      </c>
      <c r="S442" t="str">
        <f>""</f>
        <v/>
      </c>
      <c r="T442" s="5" t="str">
        <f>"16702353637"</f>
        <v>16702353637</v>
      </c>
      <c r="U442" t="str">
        <f>""</f>
        <v/>
      </c>
      <c r="V442" s="5" t="str">
        <f>""</f>
        <v/>
      </c>
      <c r="W442" t="str">
        <f>"hbrsaipan@yahoo.com"</f>
        <v>hbrsaipan@yahoo.com</v>
      </c>
      <c r="X442" t="str">
        <f>"HBR International, Inc."</f>
        <v>HBR International, Inc.</v>
      </c>
      <c r="Y442" t="str">
        <f>""</f>
        <v/>
      </c>
      <c r="Z442" t="str">
        <f>"Plata Drive Corner Bwerh , Chalan Kiya"</f>
        <v>Plata Drive Corner Bwerh , Chalan Kiya</v>
      </c>
      <c r="AA442" t="str">
        <f>""</f>
        <v/>
      </c>
      <c r="AB442" t="str">
        <f>"Saipan"</f>
        <v>Saipan</v>
      </c>
      <c r="AC442" t="str">
        <f t="shared" si="249"/>
        <v>MP</v>
      </c>
      <c r="AD442" t="str">
        <f t="shared" si="253"/>
        <v>96950</v>
      </c>
      <c r="AE442" t="str">
        <f t="shared" si="238"/>
        <v>UNITED STATES OF AMERICA</v>
      </c>
      <c r="AF442" t="str">
        <f>""</f>
        <v/>
      </c>
      <c r="AG442" s="4" t="str">
        <f>"16702353637"</f>
        <v>16702353637</v>
      </c>
      <c r="AH442" t="str">
        <f>""</f>
        <v/>
      </c>
      <c r="AI442" t="str">
        <f>"236220"</f>
        <v>236220</v>
      </c>
      <c r="AJ442" t="s">
        <v>79</v>
      </c>
      <c r="AK442" t="s">
        <v>79</v>
      </c>
      <c r="AL442" t="s">
        <v>80</v>
      </c>
      <c r="AM442" t="s">
        <v>79</v>
      </c>
      <c r="AP442" t="str">
        <f>"Maintenance Repairer, Building"</f>
        <v>Maintenance Repairer, Building</v>
      </c>
      <c r="AQ442" t="str">
        <f>"49-9071.00"</f>
        <v>49-9071.00</v>
      </c>
      <c r="AR442" t="str">
        <f>"Maintenance and Repair Workers, General"</f>
        <v>Maintenance and Repair Workers, General</v>
      </c>
      <c r="AS442" t="str">
        <f>"Supervisor"</f>
        <v>Supervisor</v>
      </c>
      <c r="AT442" t="s">
        <v>79</v>
      </c>
      <c r="AU442" t="str">
        <f>""</f>
        <v/>
      </c>
      <c r="AV442" t="str">
        <f>""</f>
        <v/>
      </c>
      <c r="AW442" t="s">
        <v>82</v>
      </c>
      <c r="AX442" t="str">
        <f>"DAILY TRAVEL TO PROJECTS/CLIENTS SITE WILL RIDE IN COMPANY SERVICE"</f>
        <v>DAILY TRAVEL TO PROJECTS/CLIENTS SITE WILL RIDE IN COMPANY SERVICE</v>
      </c>
      <c r="AY442" t="s">
        <v>81</v>
      </c>
      <c r="BA442" t="s">
        <v>80</v>
      </c>
      <c r="BB442" t="s">
        <v>79</v>
      </c>
      <c r="BD442" t="s">
        <v>79</v>
      </c>
      <c r="BG442" t="s">
        <v>82</v>
      </c>
      <c r="BH442">
        <v>12</v>
      </c>
      <c r="BI442" t="s">
        <v>446</v>
      </c>
      <c r="BJ442" t="s">
        <v>447</v>
      </c>
      <c r="BK442" t="str">
        <f>"Various Projects Sites"</f>
        <v>Various Projects Sites</v>
      </c>
      <c r="BL442" t="str">
        <f>""</f>
        <v/>
      </c>
      <c r="BM442" t="str">
        <f>"Saipan"</f>
        <v>Saipan</v>
      </c>
      <c r="BO442" t="s">
        <v>83</v>
      </c>
      <c r="BP442" s="4" t="str">
        <f t="shared" si="254"/>
        <v>96950</v>
      </c>
      <c r="BQ442" t="s">
        <v>82</v>
      </c>
      <c r="BR442" t="str">
        <f>"49-9071.00"</f>
        <v>49-9071.00</v>
      </c>
      <c r="BS442" t="s">
        <v>146</v>
      </c>
      <c r="BT442" s="3">
        <v>9.19</v>
      </c>
      <c r="BU442" t="s">
        <v>80</v>
      </c>
      <c r="BV442" t="s">
        <v>90</v>
      </c>
      <c r="BW442" t="s">
        <v>92</v>
      </c>
      <c r="BZ442" s="1">
        <v>45107</v>
      </c>
    </row>
    <row r="443" spans="1:78" ht="15" customHeight="1" x14ac:dyDescent="0.25">
      <c r="A443" t="s">
        <v>448</v>
      </c>
      <c r="B443" t="s">
        <v>94</v>
      </c>
      <c r="C443" s="1">
        <v>44818</v>
      </c>
      <c r="D443" s="1">
        <v>44858</v>
      </c>
      <c r="H443" t="s">
        <v>78</v>
      </c>
      <c r="I443" t="str">
        <f>"BYUN"</f>
        <v>BYUN</v>
      </c>
      <c r="J443" t="str">
        <f>"JUNGTEA"</f>
        <v>JUNGTEA</v>
      </c>
      <c r="K443" t="str">
        <f>""</f>
        <v/>
      </c>
      <c r="L443" t="str">
        <f>"CORPORATE PRESIDENT"</f>
        <v>CORPORATE PRESIDENT</v>
      </c>
      <c r="M443" t="str">
        <f>"BEACH ROAD, GARAPAN"</f>
        <v>BEACH ROAD, GARAPAN</v>
      </c>
      <c r="N443" t="str">
        <f>"PMB 191 BOX 10001"</f>
        <v>PMB 191 BOX 10001</v>
      </c>
      <c r="O443" t="str">
        <f>"SAIPAN"</f>
        <v>SAIPAN</v>
      </c>
      <c r="P443" t="str">
        <f t="shared" si="255"/>
        <v>MP</v>
      </c>
      <c r="Q443" s="4" t="str">
        <f t="shared" si="256"/>
        <v>96950</v>
      </c>
      <c r="R443" t="str">
        <f t="shared" si="236"/>
        <v>UNITED STATES OF AMERICA</v>
      </c>
      <c r="S443" t="str">
        <f>""</f>
        <v/>
      </c>
      <c r="T443" s="5" t="str">
        <f>"16702875800"</f>
        <v>16702875800</v>
      </c>
      <c r="U443" t="str">
        <f>""</f>
        <v/>
      </c>
      <c r="V443" s="5" t="str">
        <f>""</f>
        <v/>
      </c>
      <c r="W443" t="str">
        <f>"attycorp2022@gmail.com"</f>
        <v>attycorp2022@gmail.com</v>
      </c>
      <c r="X443" t="str">
        <f>"ATTY CORPORATION"</f>
        <v>ATTY CORPORATION</v>
      </c>
      <c r="Y443" t="str">
        <f>"ATTY DIVE, ATTY TOUR"</f>
        <v>ATTY DIVE, ATTY TOUR</v>
      </c>
      <c r="Z443" t="str">
        <f>"BEACH ROAD, GARAPAN"</f>
        <v>BEACH ROAD, GARAPAN</v>
      </c>
      <c r="AA443" t="str">
        <f>"PMB 191 BOX 10001"</f>
        <v>PMB 191 BOX 10001</v>
      </c>
      <c r="AB443" t="str">
        <f>"SAIPAN"</f>
        <v>SAIPAN</v>
      </c>
      <c r="AC443" t="str">
        <f t="shared" si="249"/>
        <v>MP</v>
      </c>
      <c r="AD443" t="str">
        <f t="shared" si="253"/>
        <v>96950</v>
      </c>
      <c r="AE443" t="str">
        <f t="shared" si="238"/>
        <v>UNITED STATES OF AMERICA</v>
      </c>
      <c r="AF443" t="str">
        <f>""</f>
        <v/>
      </c>
      <c r="AG443" s="4" t="str">
        <f>"16702875800"</f>
        <v>16702875800</v>
      </c>
      <c r="AH443" t="str">
        <f>""</f>
        <v/>
      </c>
      <c r="AI443" t="str">
        <f>"561520"</f>
        <v>561520</v>
      </c>
      <c r="AJ443" t="s">
        <v>79</v>
      </c>
      <c r="AK443" t="s">
        <v>79</v>
      </c>
      <c r="AL443" t="s">
        <v>80</v>
      </c>
      <c r="AM443" t="s">
        <v>79</v>
      </c>
      <c r="AP443" t="str">
        <f>"TOUR COORDINATOR"</f>
        <v>TOUR COORDINATOR</v>
      </c>
      <c r="AQ443" t="str">
        <f>"39-7011.00"</f>
        <v>39-7011.00</v>
      </c>
      <c r="AR443" t="str">
        <f>"Tour Guides and Escorts"</f>
        <v>Tour Guides and Escorts</v>
      </c>
      <c r="AS443" t="str">
        <f>"CORPORATE PRESIDENT"</f>
        <v>CORPORATE PRESIDENT</v>
      </c>
      <c r="AT443" t="s">
        <v>79</v>
      </c>
      <c r="AU443" t="str">
        <f>""</f>
        <v/>
      </c>
      <c r="AV443" t="str">
        <f>""</f>
        <v/>
      </c>
      <c r="AW443" t="s">
        <v>79</v>
      </c>
      <c r="AX443" t="str">
        <f>""</f>
        <v/>
      </c>
      <c r="AY443" t="s">
        <v>84</v>
      </c>
      <c r="BA443" t="s">
        <v>80</v>
      </c>
      <c r="BB443" t="s">
        <v>79</v>
      </c>
      <c r="BD443" t="s">
        <v>79</v>
      </c>
      <c r="BG443" t="s">
        <v>82</v>
      </c>
      <c r="BH443">
        <v>24</v>
      </c>
      <c r="BI443" t="s">
        <v>449</v>
      </c>
      <c r="BJ443" t="s">
        <v>450</v>
      </c>
      <c r="BK443" t="str">
        <f>"BEACH ROAD GARAPAN"</f>
        <v>BEACH ROAD GARAPAN</v>
      </c>
      <c r="BL443" t="str">
        <f>"PMB 191 BOX 10001"</f>
        <v>PMB 191 BOX 10001</v>
      </c>
      <c r="BM443" t="str">
        <f>"SAIPAN"</f>
        <v>SAIPAN</v>
      </c>
      <c r="BO443" t="s">
        <v>83</v>
      </c>
      <c r="BP443" s="4" t="str">
        <f t="shared" si="254"/>
        <v>96950</v>
      </c>
      <c r="BQ443" t="s">
        <v>79</v>
      </c>
      <c r="BR443" t="str">
        <f>"39-7011.00"</f>
        <v>39-7011.00</v>
      </c>
      <c r="BS443" t="s">
        <v>451</v>
      </c>
      <c r="BT443" s="3">
        <v>10.85</v>
      </c>
      <c r="BU443" t="s">
        <v>80</v>
      </c>
      <c r="BV443" t="s">
        <v>90</v>
      </c>
      <c r="BW443" t="s">
        <v>265</v>
      </c>
      <c r="BZ443" s="1">
        <v>45107</v>
      </c>
    </row>
    <row r="444" spans="1:78" ht="15" customHeight="1" x14ac:dyDescent="0.25">
      <c r="A444" t="s">
        <v>419</v>
      </c>
      <c r="B444" t="s">
        <v>94</v>
      </c>
      <c r="C444" s="1">
        <v>44817</v>
      </c>
      <c r="D444" s="1">
        <v>44858</v>
      </c>
      <c r="H444" t="s">
        <v>78</v>
      </c>
      <c r="I444" t="str">
        <f>"MALASARTE"</f>
        <v>MALASARTE</v>
      </c>
      <c r="J444" t="str">
        <f>"MARILOU"</f>
        <v>MARILOU</v>
      </c>
      <c r="K444" t="str">
        <f>"BABAC"</f>
        <v>BABAC</v>
      </c>
      <c r="L444" t="str">
        <f>"PRESIDENT"</f>
        <v>PRESIDENT</v>
      </c>
      <c r="M444" t="str">
        <f>"P.O. BOX 500607"</f>
        <v>P.O. BOX 500607</v>
      </c>
      <c r="N444" t="str">
        <f>""</f>
        <v/>
      </c>
      <c r="O444" t="str">
        <f>"SAIPAN"</f>
        <v>SAIPAN</v>
      </c>
      <c r="P444" t="str">
        <f t="shared" si="255"/>
        <v>MP</v>
      </c>
      <c r="Q444" s="4" t="str">
        <f t="shared" si="256"/>
        <v>96950</v>
      </c>
      <c r="R444" t="str">
        <f t="shared" si="236"/>
        <v>UNITED STATES OF AMERICA</v>
      </c>
      <c r="S444" t="str">
        <f>"N/A"</f>
        <v>N/A</v>
      </c>
      <c r="T444" s="5" t="str">
        <f>"16704838895"</f>
        <v>16704838895</v>
      </c>
      <c r="U444" t="str">
        <f>""</f>
        <v/>
      </c>
      <c r="V444" s="5" t="str">
        <f>""</f>
        <v/>
      </c>
      <c r="W444" t="str">
        <f>"amore.malou123@gmail.com"</f>
        <v>amore.malou123@gmail.com</v>
      </c>
      <c r="X444" t="str">
        <f>"AMORE CORPORATION"</f>
        <v>AMORE CORPORATION</v>
      </c>
      <c r="Y444" t="str">
        <f>"PEPOY’S CAFÉ AND RESTAURANT"</f>
        <v>PEPOY’S CAFÉ AND RESTAURANT</v>
      </c>
      <c r="Z444" t="str">
        <f>"P.O. BOX 500607"</f>
        <v>P.O. BOX 500607</v>
      </c>
      <c r="AA444" t="str">
        <f>""</f>
        <v/>
      </c>
      <c r="AB444" t="str">
        <f>"SAIPAN"</f>
        <v>SAIPAN</v>
      </c>
      <c r="AC444" t="str">
        <f t="shared" si="249"/>
        <v>MP</v>
      </c>
      <c r="AD444" t="str">
        <f t="shared" si="253"/>
        <v>96950</v>
      </c>
      <c r="AE444" t="str">
        <f t="shared" si="238"/>
        <v>UNITED STATES OF AMERICA</v>
      </c>
      <c r="AF444" t="str">
        <f>"N/A"</f>
        <v>N/A</v>
      </c>
      <c r="AG444" s="4" t="str">
        <f>"16704838895"</f>
        <v>16704838895</v>
      </c>
      <c r="AH444" t="str">
        <f>""</f>
        <v/>
      </c>
      <c r="AI444" t="str">
        <f>"72251"</f>
        <v>72251</v>
      </c>
      <c r="AJ444" t="s">
        <v>79</v>
      </c>
      <c r="AK444" t="s">
        <v>79</v>
      </c>
      <c r="AL444" t="s">
        <v>80</v>
      </c>
      <c r="AM444" t="s">
        <v>79</v>
      </c>
      <c r="AP444" t="str">
        <f>"ELECTRICIAN"</f>
        <v>ELECTRICIAN</v>
      </c>
      <c r="AQ444" t="str">
        <f>"47-2111.00"</f>
        <v>47-2111.00</v>
      </c>
      <c r="AR444" t="str">
        <f>"Electricians"</f>
        <v>Electricians</v>
      </c>
      <c r="AS444" t="str">
        <f>"PRESIDENT"</f>
        <v>PRESIDENT</v>
      </c>
      <c r="AT444" t="s">
        <v>79</v>
      </c>
      <c r="AU444" t="str">
        <f>""</f>
        <v/>
      </c>
      <c r="AV444" t="str">
        <f>""</f>
        <v/>
      </c>
      <c r="AW444" t="s">
        <v>79</v>
      </c>
      <c r="AX444" t="str">
        <f>""</f>
        <v/>
      </c>
      <c r="AY444" t="s">
        <v>84</v>
      </c>
      <c r="BA444" t="s">
        <v>80</v>
      </c>
      <c r="BB444" t="s">
        <v>79</v>
      </c>
      <c r="BD444" t="s">
        <v>79</v>
      </c>
      <c r="BG444" t="s">
        <v>82</v>
      </c>
      <c r="BH444">
        <v>12</v>
      </c>
      <c r="BI444" t="s">
        <v>420</v>
      </c>
      <c r="BJ444" s="2" t="s">
        <v>421</v>
      </c>
      <c r="BK444" t="str">
        <f>"HAMALAP STREET, CHALAN KANOA"</f>
        <v>HAMALAP STREET, CHALAN KANOA</v>
      </c>
      <c r="BL444" t="str">
        <f>""</f>
        <v/>
      </c>
      <c r="BM444" t="str">
        <f>"SAIPAN"</f>
        <v>SAIPAN</v>
      </c>
      <c r="BO444" t="s">
        <v>83</v>
      </c>
      <c r="BP444" s="4" t="str">
        <f t="shared" si="254"/>
        <v>96950</v>
      </c>
      <c r="BQ444" t="s">
        <v>79</v>
      </c>
      <c r="BR444" t="str">
        <f>"47-2111.00"</f>
        <v>47-2111.00</v>
      </c>
      <c r="BS444" t="s">
        <v>181</v>
      </c>
      <c r="BT444" s="3">
        <v>11.67</v>
      </c>
      <c r="BU444" t="s">
        <v>80</v>
      </c>
      <c r="BV444" t="s">
        <v>90</v>
      </c>
      <c r="BW444" t="s">
        <v>92</v>
      </c>
      <c r="BZ444" s="1">
        <v>45107</v>
      </c>
    </row>
    <row r="445" spans="1:78" ht="15" customHeight="1" x14ac:dyDescent="0.25">
      <c r="A445" t="s">
        <v>422</v>
      </c>
      <c r="B445" t="s">
        <v>94</v>
      </c>
      <c r="C445" s="1">
        <v>44817</v>
      </c>
      <c r="D445" s="1">
        <v>44858</v>
      </c>
      <c r="H445" t="s">
        <v>78</v>
      </c>
      <c r="I445" t="str">
        <f>"KIM"</f>
        <v>KIM</v>
      </c>
      <c r="J445" t="str">
        <f>"DOYI"</f>
        <v>DOYI</v>
      </c>
      <c r="K445" t="str">
        <f>""</f>
        <v/>
      </c>
      <c r="L445" t="str">
        <f>"CORPORATE SECRETARY"</f>
        <v>CORPORATE SECRETARY</v>
      </c>
      <c r="M445" t="str">
        <f>"PMB 214 BOX 10005"</f>
        <v>PMB 214 BOX 10005</v>
      </c>
      <c r="N445" t="str">
        <f>""</f>
        <v/>
      </c>
      <c r="O445" t="str">
        <f>"SAIPAN"</f>
        <v>SAIPAN</v>
      </c>
      <c r="P445" t="str">
        <f t="shared" si="255"/>
        <v>MP</v>
      </c>
      <c r="Q445" s="4" t="str">
        <f t="shared" si="256"/>
        <v>96950</v>
      </c>
      <c r="R445" t="str">
        <f t="shared" si="236"/>
        <v>UNITED STATES OF AMERICA</v>
      </c>
      <c r="S445" t="str">
        <f>""</f>
        <v/>
      </c>
      <c r="T445" s="5" t="str">
        <f>"16702353313"</f>
        <v>16702353313</v>
      </c>
      <c r="U445" t="str">
        <f>""</f>
        <v/>
      </c>
      <c r="V445" s="5" t="str">
        <f>""</f>
        <v/>
      </c>
      <c r="W445" t="str">
        <f>"saipanwinners5@gmail.com"</f>
        <v>saipanwinners5@gmail.com</v>
      </c>
      <c r="X445" t="str">
        <f>"D.K.K. INC."</f>
        <v>D.K.K. INC.</v>
      </c>
      <c r="Y445" t="str">
        <f>"DOLLARS POKER, MOON NIGHT POKER, DKK CONSTRUCTION, et al"</f>
        <v>DOLLARS POKER, MOON NIGHT POKER, DKK CONSTRUCTION, et al</v>
      </c>
      <c r="Z445" t="str">
        <f>"PMB 214 BOX 10005"</f>
        <v>PMB 214 BOX 10005</v>
      </c>
      <c r="AA445" t="str">
        <f>""</f>
        <v/>
      </c>
      <c r="AB445" t="str">
        <f>"SAIPAN"</f>
        <v>SAIPAN</v>
      </c>
      <c r="AC445" t="str">
        <f t="shared" si="249"/>
        <v>MP</v>
      </c>
      <c r="AD445" t="str">
        <f t="shared" si="253"/>
        <v>96950</v>
      </c>
      <c r="AE445" t="str">
        <f t="shared" si="238"/>
        <v>UNITED STATES OF AMERICA</v>
      </c>
      <c r="AF445" t="str">
        <f>""</f>
        <v/>
      </c>
      <c r="AG445" s="4" t="str">
        <f>"16702353313"</f>
        <v>16702353313</v>
      </c>
      <c r="AH445" t="str">
        <f>""</f>
        <v/>
      </c>
      <c r="AI445" t="str">
        <f>"713290"</f>
        <v>713290</v>
      </c>
      <c r="AJ445" t="s">
        <v>79</v>
      </c>
      <c r="AK445" t="s">
        <v>79</v>
      </c>
      <c r="AL445" t="s">
        <v>80</v>
      </c>
      <c r="AM445" t="s">
        <v>79</v>
      </c>
      <c r="AP445" t="str">
        <f>"GAMING SERVICE WORKER"</f>
        <v>GAMING SERVICE WORKER</v>
      </c>
      <c r="AQ445" t="str">
        <f>"39-3019.00"</f>
        <v>39-3019.00</v>
      </c>
      <c r="AR445" t="str">
        <f>"Gambling Service Workers, All Other"</f>
        <v>Gambling Service Workers, All Other</v>
      </c>
      <c r="AS445" t="str">
        <f>"GENERAL MANAGER"</f>
        <v>GENERAL MANAGER</v>
      </c>
      <c r="AT445" t="s">
        <v>79</v>
      </c>
      <c r="AU445" t="str">
        <f>""</f>
        <v/>
      </c>
      <c r="AV445" t="str">
        <f>""</f>
        <v/>
      </c>
      <c r="AW445" t="s">
        <v>79</v>
      </c>
      <c r="AX445" t="str">
        <f>""</f>
        <v/>
      </c>
      <c r="AY445" t="s">
        <v>84</v>
      </c>
      <c r="BA445" t="s">
        <v>80</v>
      </c>
      <c r="BB445" t="s">
        <v>79</v>
      </c>
      <c r="BD445" t="s">
        <v>79</v>
      </c>
      <c r="BG445" t="s">
        <v>82</v>
      </c>
      <c r="BH445">
        <v>12</v>
      </c>
      <c r="BI445" t="s">
        <v>423</v>
      </c>
      <c r="BJ445" t="s">
        <v>424</v>
      </c>
      <c r="BK445" t="str">
        <f>"ALAHAI ST GARAPAN"</f>
        <v>ALAHAI ST GARAPAN</v>
      </c>
      <c r="BL445" t="str">
        <f>""</f>
        <v/>
      </c>
      <c r="BM445" t="str">
        <f>"SAIPAN"</f>
        <v>SAIPAN</v>
      </c>
      <c r="BO445" t="s">
        <v>83</v>
      </c>
      <c r="BP445" s="4" t="str">
        <f t="shared" si="254"/>
        <v>96950</v>
      </c>
      <c r="BQ445" t="s">
        <v>82</v>
      </c>
      <c r="BR445" t="str">
        <f>"39-1013.00"</f>
        <v>39-1013.00</v>
      </c>
      <c r="BS445" t="s">
        <v>425</v>
      </c>
      <c r="BT445" s="3">
        <v>17.190000000000001</v>
      </c>
      <c r="BU445" t="s">
        <v>80</v>
      </c>
      <c r="BV445" t="s">
        <v>90</v>
      </c>
      <c r="BW445" t="s">
        <v>265</v>
      </c>
      <c r="BZ445" s="1">
        <v>45107</v>
      </c>
    </row>
    <row r="446" spans="1:78" ht="15" customHeight="1" x14ac:dyDescent="0.25">
      <c r="A446" t="s">
        <v>426</v>
      </c>
      <c r="B446" t="s">
        <v>94</v>
      </c>
      <c r="C446" s="1">
        <v>44817</v>
      </c>
      <c r="D446" s="1">
        <v>44858</v>
      </c>
      <c r="H446" t="s">
        <v>78</v>
      </c>
      <c r="I446" t="str">
        <f>"Lam"</f>
        <v>Lam</v>
      </c>
      <c r="J446" t="str">
        <f>"Maxine"</f>
        <v>Maxine</v>
      </c>
      <c r="K446" t="str">
        <f>""</f>
        <v/>
      </c>
      <c r="L446" t="str">
        <f>"HR Manager"</f>
        <v>HR Manager</v>
      </c>
      <c r="M446" t="str">
        <f>"Insatto Street, Susupe PO Box 500137"</f>
        <v>Insatto Street, Susupe PO Box 500137</v>
      </c>
      <c r="N446" t="str">
        <f>"Insatto Street, Susupe PO Box 500137"</f>
        <v>Insatto Street, Susupe PO Box 500137</v>
      </c>
      <c r="O446" t="str">
        <f>"Saipan"</f>
        <v>Saipan</v>
      </c>
      <c r="P446" t="str">
        <f t="shared" si="255"/>
        <v>MP</v>
      </c>
      <c r="Q446" s="4" t="str">
        <f t="shared" si="256"/>
        <v>96950</v>
      </c>
      <c r="R446" t="str">
        <f t="shared" si="236"/>
        <v>UNITED STATES OF AMERICA</v>
      </c>
      <c r="S446" t="str">
        <f>""</f>
        <v/>
      </c>
      <c r="T446" s="5" t="str">
        <f>"16702346445"</f>
        <v>16702346445</v>
      </c>
      <c r="U446" t="str">
        <f>"2263"</f>
        <v>2263</v>
      </c>
      <c r="V446" s="5" t="str">
        <f>""</f>
        <v/>
      </c>
      <c r="W446" t="str">
        <f>"hrd@joeten.com"</f>
        <v>hrd@joeten.com</v>
      </c>
      <c r="X446" t="str">
        <f>"Joeten Development Inc"</f>
        <v>Joeten Development Inc</v>
      </c>
      <c r="Y446" t="str">
        <f>"Joeten Superstore"</f>
        <v>Joeten Superstore</v>
      </c>
      <c r="Z446" t="str">
        <f>"Roong Lane, Oleai PO Box 500137"</f>
        <v>Roong Lane, Oleai PO Box 500137</v>
      </c>
      <c r="AA446" t="str">
        <f>"Roong Lane, Oleai PO Box 500137"</f>
        <v>Roong Lane, Oleai PO Box 500137</v>
      </c>
      <c r="AB446" t="str">
        <f>"Saipan"</f>
        <v>Saipan</v>
      </c>
      <c r="AC446" t="str">
        <f t="shared" si="249"/>
        <v>MP</v>
      </c>
      <c r="AD446" t="str">
        <f t="shared" si="253"/>
        <v>96950</v>
      </c>
      <c r="AE446" t="str">
        <f t="shared" si="238"/>
        <v>UNITED STATES OF AMERICA</v>
      </c>
      <c r="AF446" t="str">
        <f>""</f>
        <v/>
      </c>
      <c r="AG446" s="4" t="str">
        <f>"16702346445"</f>
        <v>16702346445</v>
      </c>
      <c r="AH446" t="str">
        <f>"2263"</f>
        <v>2263</v>
      </c>
      <c r="AI446" t="str">
        <f>"452311"</f>
        <v>452311</v>
      </c>
      <c r="AJ446" t="s">
        <v>79</v>
      </c>
      <c r="AK446" t="s">
        <v>79</v>
      </c>
      <c r="AL446" t="s">
        <v>80</v>
      </c>
      <c r="AM446" t="s">
        <v>79</v>
      </c>
      <c r="AP446" t="str">
        <f>"Cake Decorator"</f>
        <v>Cake Decorator</v>
      </c>
      <c r="AQ446" t="str">
        <f>"51-3011.00"</f>
        <v>51-3011.00</v>
      </c>
      <c r="AR446" t="str">
        <f>"Bakers"</f>
        <v>Bakers</v>
      </c>
      <c r="AS446" t="str">
        <f>"Manager"</f>
        <v>Manager</v>
      </c>
      <c r="AT446" t="s">
        <v>79</v>
      </c>
      <c r="AU446" t="str">
        <f>""</f>
        <v/>
      </c>
      <c r="AV446" t="str">
        <f>""</f>
        <v/>
      </c>
      <c r="AW446" t="s">
        <v>79</v>
      </c>
      <c r="AX446" t="str">
        <f>""</f>
        <v/>
      </c>
      <c r="AY446" t="s">
        <v>84</v>
      </c>
      <c r="BA446" t="s">
        <v>80</v>
      </c>
      <c r="BB446" t="s">
        <v>79</v>
      </c>
      <c r="BD446" t="s">
        <v>79</v>
      </c>
      <c r="BG446" t="s">
        <v>82</v>
      </c>
      <c r="BH446">
        <v>12</v>
      </c>
      <c r="BI446" t="s">
        <v>427</v>
      </c>
      <c r="BJ446" s="2" t="s">
        <v>428</v>
      </c>
      <c r="BK446" t="str">
        <f>"Roong Lane, Oleai PO Box 500137"</f>
        <v>Roong Lane, Oleai PO Box 500137</v>
      </c>
      <c r="BL446" t="str">
        <f>"Roong Lane, Oleai PO Box 500137"</f>
        <v>Roong Lane, Oleai PO Box 500137</v>
      </c>
      <c r="BM446" t="str">
        <f>"Saipan"</f>
        <v>Saipan</v>
      </c>
      <c r="BO446" t="s">
        <v>83</v>
      </c>
      <c r="BP446" s="4" t="str">
        <f t="shared" si="254"/>
        <v>96950</v>
      </c>
      <c r="BQ446" t="s">
        <v>79</v>
      </c>
      <c r="BR446" t="str">
        <f>"51-3011.00"</f>
        <v>51-3011.00</v>
      </c>
      <c r="BS446" t="s">
        <v>331</v>
      </c>
      <c r="BT446" s="3">
        <v>8.19</v>
      </c>
      <c r="BU446" t="s">
        <v>80</v>
      </c>
      <c r="BV446" t="s">
        <v>90</v>
      </c>
      <c r="BW446" t="s">
        <v>92</v>
      </c>
      <c r="BZ446" s="1">
        <v>45107</v>
      </c>
    </row>
    <row r="447" spans="1:78" ht="15" customHeight="1" x14ac:dyDescent="0.25">
      <c r="A447" t="s">
        <v>383</v>
      </c>
      <c r="B447" t="s">
        <v>94</v>
      </c>
      <c r="C447" s="1">
        <v>44816</v>
      </c>
      <c r="D447" s="1">
        <v>44858</v>
      </c>
      <c r="H447" t="s">
        <v>78</v>
      </c>
      <c r="I447" t="str">
        <f>"Ada"</f>
        <v>Ada</v>
      </c>
      <c r="J447" t="str">
        <f>"Francisco"</f>
        <v>Francisco</v>
      </c>
      <c r="K447" t="str">
        <f>"Seman"</f>
        <v>Seman</v>
      </c>
      <c r="L447" t="str">
        <f>"Director of Human Resources"</f>
        <v>Director of Human Resources</v>
      </c>
      <c r="M447" t="str">
        <f>"Brigida St., Beach Road"</f>
        <v>Brigida St., Beach Road</v>
      </c>
      <c r="N447" t="str">
        <f>"Chalan kanoa"</f>
        <v>Chalan kanoa</v>
      </c>
      <c r="O447" t="str">
        <f>"Saipan"</f>
        <v>Saipan</v>
      </c>
      <c r="P447" t="str">
        <f t="shared" si="255"/>
        <v>MP</v>
      </c>
      <c r="Q447" s="4" t="str">
        <f t="shared" si="256"/>
        <v>96950</v>
      </c>
      <c r="R447" t="str">
        <f t="shared" si="236"/>
        <v>UNITED STATES OF AMERICA</v>
      </c>
      <c r="S447" t="str">
        <f>"MP"</f>
        <v>MP</v>
      </c>
      <c r="T447" s="5" t="str">
        <f>"16702341795"</f>
        <v>16702341795</v>
      </c>
      <c r="U447" t="str">
        <f>""</f>
        <v/>
      </c>
      <c r="V447" s="5" t="str">
        <f>""</f>
        <v/>
      </c>
      <c r="W447" t="str">
        <f>"hrtjsaipan@triplejsaipan.com"</f>
        <v>hrtjsaipan@triplejsaipan.com</v>
      </c>
      <c r="X447" t="str">
        <f>"Triple J Saipan, Inc."</f>
        <v>Triple J Saipan, Inc.</v>
      </c>
      <c r="Y447" t="str">
        <f>""</f>
        <v/>
      </c>
      <c r="Z447" t="str">
        <f>"Brigida St., Beach Road"</f>
        <v>Brigida St., Beach Road</v>
      </c>
      <c r="AA447" t="str">
        <f>"Chalan Kanoa "</f>
        <v xml:space="preserve">Chalan Kanoa </v>
      </c>
      <c r="AB447" t="str">
        <f>"Saipan"</f>
        <v>Saipan</v>
      </c>
      <c r="AC447" t="str">
        <f t="shared" si="249"/>
        <v>MP</v>
      </c>
      <c r="AD447" t="str">
        <f t="shared" si="253"/>
        <v>96950</v>
      </c>
      <c r="AE447" t="str">
        <f t="shared" si="238"/>
        <v>UNITED STATES OF AMERICA</v>
      </c>
      <c r="AF447" t="str">
        <f>"MP"</f>
        <v>MP</v>
      </c>
      <c r="AG447" s="4" t="str">
        <f>"16702341795"</f>
        <v>16702341795</v>
      </c>
      <c r="AH447" t="str">
        <f>""</f>
        <v/>
      </c>
      <c r="AI447" t="str">
        <f>"72111"</f>
        <v>72111</v>
      </c>
      <c r="AJ447" t="s">
        <v>79</v>
      </c>
      <c r="AK447" t="s">
        <v>79</v>
      </c>
      <c r="AL447" t="s">
        <v>80</v>
      </c>
      <c r="AM447" t="s">
        <v>79</v>
      </c>
      <c r="AP447" t="str">
        <f>"Housekeeper"</f>
        <v>Housekeeper</v>
      </c>
      <c r="AQ447" t="str">
        <f>"37-2012.00"</f>
        <v>37-2012.00</v>
      </c>
      <c r="AR447" t="str">
        <f>"Maids and Housekeeping Cleaners"</f>
        <v>Maids and Housekeeping Cleaners</v>
      </c>
      <c r="AS447" t="str">
        <f>"Housekeeping Supervisor"</f>
        <v>Housekeeping Supervisor</v>
      </c>
      <c r="AT447" t="s">
        <v>79</v>
      </c>
      <c r="AU447" t="str">
        <f>""</f>
        <v/>
      </c>
      <c r="AV447" t="str">
        <f>""</f>
        <v/>
      </c>
      <c r="AW447" t="s">
        <v>79</v>
      </c>
      <c r="AX447" t="str">
        <f>""</f>
        <v/>
      </c>
      <c r="AY447" t="s">
        <v>84</v>
      </c>
      <c r="BA447" t="s">
        <v>80</v>
      </c>
      <c r="BB447" t="s">
        <v>79</v>
      </c>
      <c r="BD447" t="s">
        <v>79</v>
      </c>
      <c r="BG447" t="s">
        <v>82</v>
      </c>
      <c r="BH447">
        <v>3</v>
      </c>
      <c r="BI447" t="s">
        <v>384</v>
      </c>
      <c r="BJ447" t="s">
        <v>385</v>
      </c>
      <c r="BK447" t="str">
        <f>"San Jose Village"</f>
        <v>San Jose Village</v>
      </c>
      <c r="BL447" t="str">
        <f>"P.O. Box 520397"</f>
        <v>P.O. Box 520397</v>
      </c>
      <c r="BM447" t="str">
        <f>"Tinian"</f>
        <v>Tinian</v>
      </c>
      <c r="BO447" t="s">
        <v>83</v>
      </c>
      <c r="BP447" s="4" t="str">
        <f>"96952"</f>
        <v>96952</v>
      </c>
      <c r="BQ447" t="s">
        <v>79</v>
      </c>
      <c r="BR447" t="str">
        <f>"37-2012.00"</f>
        <v>37-2012.00</v>
      </c>
      <c r="BS447" t="s">
        <v>109</v>
      </c>
      <c r="BT447" s="3">
        <v>7.56</v>
      </c>
      <c r="BU447" t="s">
        <v>80</v>
      </c>
      <c r="BV447" t="s">
        <v>90</v>
      </c>
      <c r="BW447" t="s">
        <v>92</v>
      </c>
      <c r="BZ447" s="1">
        <v>45107</v>
      </c>
    </row>
    <row r="448" spans="1:78" ht="15" customHeight="1" x14ac:dyDescent="0.25">
      <c r="A448" t="s">
        <v>386</v>
      </c>
      <c r="B448" t="s">
        <v>94</v>
      </c>
      <c r="C448" s="1">
        <v>44816</v>
      </c>
      <c r="D448" s="1">
        <v>44858</v>
      </c>
      <c r="H448" t="s">
        <v>78</v>
      </c>
      <c r="I448" t="str">
        <f>"KIM"</f>
        <v>KIM</v>
      </c>
      <c r="J448" t="str">
        <f>"KANG HEE"</f>
        <v>KANG HEE</v>
      </c>
      <c r="K448" t="str">
        <f>""</f>
        <v/>
      </c>
      <c r="L448" t="str">
        <f>"PRESIDENT"</f>
        <v>PRESIDENT</v>
      </c>
      <c r="M448" t="str">
        <f>"P.O Box 503053 Ck"</f>
        <v>P.O Box 503053 Ck</v>
      </c>
      <c r="N448" t="str">
        <f>""</f>
        <v/>
      </c>
      <c r="O448" t="str">
        <f>"Saipan"</f>
        <v>Saipan</v>
      </c>
      <c r="P448" t="str">
        <f t="shared" si="255"/>
        <v>MP</v>
      </c>
      <c r="Q448" s="4" t="str">
        <f t="shared" si="256"/>
        <v>96950</v>
      </c>
      <c r="R448" t="str">
        <f t="shared" si="236"/>
        <v>UNITED STATES OF AMERICA</v>
      </c>
      <c r="S448" t="str">
        <f>""</f>
        <v/>
      </c>
      <c r="T448" s="5" t="str">
        <f>"16702359369"</f>
        <v>16702359369</v>
      </c>
      <c r="U448" t="str">
        <f>""</f>
        <v/>
      </c>
      <c r="V448" s="5" t="str">
        <f>""</f>
        <v/>
      </c>
      <c r="W448" t="str">
        <f>"Kangparts@hotmail.com"</f>
        <v>Kangparts@hotmail.com</v>
      </c>
      <c r="X448" t="str">
        <f>"KANG CORPORATION"</f>
        <v>KANG CORPORATION</v>
      </c>
      <c r="Y448" t="str">
        <f>""</f>
        <v/>
      </c>
      <c r="Z448" t="str">
        <f>"P.O Box 503053 Ck"</f>
        <v>P.O Box 503053 Ck</v>
      </c>
      <c r="AA448" t="str">
        <f>""</f>
        <v/>
      </c>
      <c r="AB448" t="str">
        <f>"Saipan"</f>
        <v>Saipan</v>
      </c>
      <c r="AC448" t="str">
        <f t="shared" si="249"/>
        <v>MP</v>
      </c>
      <c r="AD448" t="str">
        <f t="shared" si="253"/>
        <v>96950</v>
      </c>
      <c r="AE448" t="str">
        <f t="shared" si="238"/>
        <v>UNITED STATES OF AMERICA</v>
      </c>
      <c r="AF448" t="str">
        <f>""</f>
        <v/>
      </c>
      <c r="AG448" s="4" t="str">
        <f>"16702359369"</f>
        <v>16702359369</v>
      </c>
      <c r="AH448" t="str">
        <f>""</f>
        <v/>
      </c>
      <c r="AI448" t="str">
        <f>"44131"</f>
        <v>44131</v>
      </c>
      <c r="AJ448" t="s">
        <v>79</v>
      </c>
      <c r="AK448" t="s">
        <v>79</v>
      </c>
      <c r="AL448" t="s">
        <v>80</v>
      </c>
      <c r="AM448" t="s">
        <v>79</v>
      </c>
      <c r="AP448" t="str">
        <f>"Bus and Truck Mechanics and Diesel Engine Specialists"</f>
        <v>Bus and Truck Mechanics and Diesel Engine Specialists</v>
      </c>
      <c r="AQ448" t="str">
        <f>"49-3031.00"</f>
        <v>49-3031.00</v>
      </c>
      <c r="AR448" t="str">
        <f>"Bus and Truck Mechanics and Diesel Engine Specialists"</f>
        <v>Bus and Truck Mechanics and Diesel Engine Specialists</v>
      </c>
      <c r="AS448" t="str">
        <f>"NONE"</f>
        <v>NONE</v>
      </c>
      <c r="AT448" t="s">
        <v>79</v>
      </c>
      <c r="AU448" t="str">
        <f>""</f>
        <v/>
      </c>
      <c r="AV448" t="str">
        <f>""</f>
        <v/>
      </c>
      <c r="AW448" t="s">
        <v>79</v>
      </c>
      <c r="AX448" t="str">
        <f>""</f>
        <v/>
      </c>
      <c r="AY448" t="s">
        <v>84</v>
      </c>
      <c r="BA448" t="s">
        <v>80</v>
      </c>
      <c r="BB448" t="s">
        <v>79</v>
      </c>
      <c r="BD448" t="s">
        <v>79</v>
      </c>
      <c r="BG448" t="s">
        <v>82</v>
      </c>
      <c r="BH448">
        <v>24</v>
      </c>
      <c r="BI448" t="s">
        <v>239</v>
      </c>
      <c r="BJ448" s="2" t="s">
        <v>387</v>
      </c>
      <c r="BK448" t="str">
        <f>"Chalan Laulau Village"</f>
        <v>Chalan Laulau Village</v>
      </c>
      <c r="BL448" t="str">
        <f>""</f>
        <v/>
      </c>
      <c r="BM448" t="str">
        <f>"Saipan"</f>
        <v>Saipan</v>
      </c>
      <c r="BO448" t="s">
        <v>83</v>
      </c>
      <c r="BP448" s="4" t="str">
        <f>"96950"</f>
        <v>96950</v>
      </c>
      <c r="BQ448" t="s">
        <v>79</v>
      </c>
      <c r="BR448" t="str">
        <f>"49-3031.00"</f>
        <v>49-3031.00</v>
      </c>
      <c r="BS448" t="s">
        <v>239</v>
      </c>
      <c r="BT448" s="3">
        <v>10.17</v>
      </c>
      <c r="BU448" t="s">
        <v>80</v>
      </c>
      <c r="BV448" t="s">
        <v>90</v>
      </c>
      <c r="BW448" t="s">
        <v>92</v>
      </c>
      <c r="BZ448" s="1">
        <v>45107</v>
      </c>
    </row>
    <row r="449" spans="1:78" ht="15" customHeight="1" x14ac:dyDescent="0.25">
      <c r="A449" t="s">
        <v>388</v>
      </c>
      <c r="B449" t="s">
        <v>94</v>
      </c>
      <c r="C449" s="1">
        <v>44816</v>
      </c>
      <c r="D449" s="1">
        <v>44858</v>
      </c>
      <c r="H449" t="s">
        <v>78</v>
      </c>
      <c r="I449" t="str">
        <f>"POWER"</f>
        <v>POWER</v>
      </c>
      <c r="J449" t="str">
        <f>"DONALD"</f>
        <v>DONALD</v>
      </c>
      <c r="K449" t="str">
        <f>"JAMES"</f>
        <v>JAMES</v>
      </c>
      <c r="L449" t="str">
        <f>"PRESIDENT"</f>
        <v>PRESIDENT</v>
      </c>
      <c r="M449" t="str">
        <f>"10 GRAND ST. SAN JOSE VILLAGE"</f>
        <v>10 GRAND ST. SAN JOSE VILLAGE</v>
      </c>
      <c r="N449" t="str">
        <f>""</f>
        <v/>
      </c>
      <c r="O449" t="str">
        <f>"TINIAN"</f>
        <v>TINIAN</v>
      </c>
      <c r="P449" t="str">
        <f t="shared" si="255"/>
        <v>MP</v>
      </c>
      <c r="Q449" s="4" t="str">
        <f>"96952"</f>
        <v>96952</v>
      </c>
      <c r="R449" t="str">
        <f t="shared" si="236"/>
        <v>UNITED STATES OF AMERICA</v>
      </c>
      <c r="S449" t="str">
        <f>""</f>
        <v/>
      </c>
      <c r="T449" s="5" t="str">
        <f>"16704330422"</f>
        <v>16704330422</v>
      </c>
      <c r="U449" t="str">
        <f>""</f>
        <v/>
      </c>
      <c r="V449" s="5" t="str">
        <f>""</f>
        <v/>
      </c>
      <c r="W449" t="str">
        <f>"JLIBUT@HAWAIIANROCK.COM"</f>
        <v>JLIBUT@HAWAIIANROCK.COM</v>
      </c>
      <c r="X449" t="str">
        <f>"POWER BUILDERS INTERNATIONAL, LLC"</f>
        <v>POWER BUILDERS INTERNATIONAL, LLC</v>
      </c>
      <c r="Y449" t="str">
        <f>""</f>
        <v/>
      </c>
      <c r="Z449" t="str">
        <f>"10 GRAND ST. SAN JOSE VILLAGE"</f>
        <v>10 GRAND ST. SAN JOSE VILLAGE</v>
      </c>
      <c r="AA449" t="str">
        <f>""</f>
        <v/>
      </c>
      <c r="AB449" t="str">
        <f>"TINIAN"</f>
        <v>TINIAN</v>
      </c>
      <c r="AC449" t="str">
        <f t="shared" si="249"/>
        <v>MP</v>
      </c>
      <c r="AD449" t="str">
        <f>"96952"</f>
        <v>96952</v>
      </c>
      <c r="AE449" t="str">
        <f t="shared" si="238"/>
        <v>UNITED STATES OF AMERICA</v>
      </c>
      <c r="AF449" t="str">
        <f>""</f>
        <v/>
      </c>
      <c r="AG449" s="4" t="str">
        <f>"16704330422"</f>
        <v>16704330422</v>
      </c>
      <c r="AH449" t="str">
        <f>""</f>
        <v/>
      </c>
      <c r="AI449" t="str">
        <f>"236220"</f>
        <v>236220</v>
      </c>
      <c r="AJ449" t="s">
        <v>79</v>
      </c>
      <c r="AK449" t="s">
        <v>79</v>
      </c>
      <c r="AL449" t="s">
        <v>80</v>
      </c>
      <c r="AM449" t="s">
        <v>79</v>
      </c>
      <c r="AP449" t="str">
        <f>"MAINTENANCE AND REPAIR WORKERS, GENERAL"</f>
        <v>MAINTENANCE AND REPAIR WORKERS, GENERAL</v>
      </c>
      <c r="AQ449" t="str">
        <f>"49-9071.00"</f>
        <v>49-9071.00</v>
      </c>
      <c r="AR449" t="str">
        <f>"Maintenance and Repair Workers, General"</f>
        <v>Maintenance and Repair Workers, General</v>
      </c>
      <c r="AS449" t="str">
        <f>"PROJECT SUPERVISOR"</f>
        <v>PROJECT SUPERVISOR</v>
      </c>
      <c r="AT449" t="s">
        <v>79</v>
      </c>
      <c r="AU449" t="str">
        <f>""</f>
        <v/>
      </c>
      <c r="AV449" t="str">
        <f>""</f>
        <v/>
      </c>
      <c r="AW449" t="s">
        <v>79</v>
      </c>
      <c r="AX449" t="str">
        <f>""</f>
        <v/>
      </c>
      <c r="AY449" t="s">
        <v>81</v>
      </c>
      <c r="BA449" t="s">
        <v>80</v>
      </c>
      <c r="BB449" t="s">
        <v>79</v>
      </c>
      <c r="BD449" t="s">
        <v>79</v>
      </c>
      <c r="BG449" t="s">
        <v>82</v>
      </c>
      <c r="BH449">
        <v>12</v>
      </c>
      <c r="BI449" t="s">
        <v>146</v>
      </c>
      <c r="BJ449" t="s">
        <v>389</v>
      </c>
      <c r="BK449" t="str">
        <f>"Grand St. San Jose Village"</f>
        <v>Grand St. San Jose Village</v>
      </c>
      <c r="BL449" t="str">
        <f>""</f>
        <v/>
      </c>
      <c r="BM449" t="str">
        <f>"Tinian"</f>
        <v>Tinian</v>
      </c>
      <c r="BO449" t="s">
        <v>83</v>
      </c>
      <c r="BP449" s="4" t="str">
        <f>"96952"</f>
        <v>96952</v>
      </c>
      <c r="BQ449" t="s">
        <v>79</v>
      </c>
      <c r="BR449" t="str">
        <f>"49-9071.00"</f>
        <v>49-9071.00</v>
      </c>
      <c r="BS449" t="s">
        <v>146</v>
      </c>
      <c r="BT449" s="3">
        <v>9.19</v>
      </c>
      <c r="BU449" t="s">
        <v>80</v>
      </c>
      <c r="BV449" t="s">
        <v>90</v>
      </c>
      <c r="BW449" t="s">
        <v>92</v>
      </c>
      <c r="BZ449" s="1">
        <v>45107</v>
      </c>
    </row>
    <row r="450" spans="1:78" ht="15" customHeight="1" x14ac:dyDescent="0.25">
      <c r="A450" t="s">
        <v>395</v>
      </c>
      <c r="B450" t="s">
        <v>94</v>
      </c>
      <c r="C450" s="1">
        <v>44816</v>
      </c>
      <c r="D450" s="1">
        <v>44858</v>
      </c>
      <c r="H450" t="s">
        <v>78</v>
      </c>
      <c r="I450" t="str">
        <f>"KWI"</f>
        <v>KWI</v>
      </c>
      <c r="J450" t="str">
        <f>"DONG WOO"</f>
        <v>DONG WOO</v>
      </c>
      <c r="K450" t="str">
        <f>"NA"</f>
        <v>NA</v>
      </c>
      <c r="L450" t="str">
        <f>"Registered Agent"</f>
        <v>Registered Agent</v>
      </c>
      <c r="M450" t="str">
        <f>"PMB 266 BOX 10000"</f>
        <v>PMB 266 BOX 10000</v>
      </c>
      <c r="N450" t="str">
        <f>""</f>
        <v/>
      </c>
      <c r="O450" t="str">
        <f>"SAIPAN"</f>
        <v>SAIPAN</v>
      </c>
      <c r="P450" t="str">
        <f t="shared" si="255"/>
        <v>MP</v>
      </c>
      <c r="Q450" s="4" t="str">
        <f t="shared" ref="Q450:Q458" si="257">"96950"</f>
        <v>96950</v>
      </c>
      <c r="R450" t="str">
        <f t="shared" ref="R450:R456" si="258">"UNITED STATES OF AMERICA"</f>
        <v>UNITED STATES OF AMERICA</v>
      </c>
      <c r="S450" t="str">
        <f>""</f>
        <v/>
      </c>
      <c r="T450" s="5" t="str">
        <f>"16704833702"</f>
        <v>16704833702</v>
      </c>
      <c r="U450" t="str">
        <f>""</f>
        <v/>
      </c>
      <c r="V450" s="5" t="str">
        <f>""</f>
        <v/>
      </c>
      <c r="W450" t="str">
        <f>"jangseongcorp.spn@gmail.com"</f>
        <v>jangseongcorp.spn@gmail.com</v>
      </c>
      <c r="X450" t="str">
        <f>"JANGSEONG CORPORATION"</f>
        <v>JANGSEONG CORPORATION</v>
      </c>
      <c r="Y450" t="str">
        <f>""</f>
        <v/>
      </c>
      <c r="Z450" t="str">
        <f>"PMB 256 PO BOX 10000"</f>
        <v>PMB 256 PO BOX 10000</v>
      </c>
      <c r="AA450" t="str">
        <f>""</f>
        <v/>
      </c>
      <c r="AB450" t="str">
        <f>"SAIPAN"</f>
        <v>SAIPAN</v>
      </c>
      <c r="AC450" t="str">
        <f t="shared" ref="AC450:AC481" si="259">"MP"</f>
        <v>MP</v>
      </c>
      <c r="AD450" t="str">
        <f t="shared" ref="AD450:AD458" si="260">"96950"</f>
        <v>96950</v>
      </c>
      <c r="AE450" t="str">
        <f t="shared" ref="AE450:AE485" si="261">"UNITED STATES OF AMERICA"</f>
        <v>UNITED STATES OF AMERICA</v>
      </c>
      <c r="AF450" t="str">
        <f>""</f>
        <v/>
      </c>
      <c r="AG450" s="4" t="str">
        <f>"16704833702"</f>
        <v>16704833702</v>
      </c>
      <c r="AH450" t="str">
        <f>""</f>
        <v/>
      </c>
      <c r="AI450" t="str">
        <f>"56152"</f>
        <v>56152</v>
      </c>
      <c r="AJ450" t="s">
        <v>79</v>
      </c>
      <c r="AK450" t="s">
        <v>79</v>
      </c>
      <c r="AL450" t="s">
        <v>80</v>
      </c>
      <c r="AM450" t="s">
        <v>79</v>
      </c>
      <c r="AP450" t="str">
        <f>"SUPERVISOR"</f>
        <v>SUPERVISOR</v>
      </c>
      <c r="AQ450" t="str">
        <f>""</f>
        <v/>
      </c>
      <c r="AR450" t="str">
        <f>""</f>
        <v/>
      </c>
      <c r="AS450" t="str">
        <f>"TOUR MANAGER"</f>
        <v>TOUR MANAGER</v>
      </c>
      <c r="AT450" t="s">
        <v>82</v>
      </c>
      <c r="AU450" t="str">
        <f>"2"</f>
        <v>2</v>
      </c>
      <c r="AV450" t="str">
        <f>"Subordinate"</f>
        <v>Subordinate</v>
      </c>
      <c r="AW450" t="s">
        <v>79</v>
      </c>
      <c r="AX450" t="str">
        <f>""</f>
        <v/>
      </c>
      <c r="AY450" t="s">
        <v>84</v>
      </c>
      <c r="BA450" t="s">
        <v>246</v>
      </c>
      <c r="BB450" t="s">
        <v>79</v>
      </c>
      <c r="BD450" t="s">
        <v>79</v>
      </c>
      <c r="BG450" t="s">
        <v>82</v>
      </c>
      <c r="BH450">
        <v>12</v>
      </c>
      <c r="BI450" t="s">
        <v>396</v>
      </c>
      <c r="BJ450" s="2" t="s">
        <v>397</v>
      </c>
      <c r="BK450" t="str">
        <f>"CHALAN LAU LAU"</f>
        <v>CHALAN LAU LAU</v>
      </c>
      <c r="BL450" t="str">
        <f>""</f>
        <v/>
      </c>
      <c r="BM450" t="str">
        <f>"SAIPAN"</f>
        <v>SAIPAN</v>
      </c>
      <c r="BO450" t="s">
        <v>83</v>
      </c>
      <c r="BP450" s="4" t="str">
        <f>"96950"</f>
        <v>96950</v>
      </c>
      <c r="BQ450" t="s">
        <v>79</v>
      </c>
      <c r="BR450" t="str">
        <f>"11-1021.00"</f>
        <v>11-1021.00</v>
      </c>
      <c r="BS450" t="s">
        <v>244</v>
      </c>
      <c r="BT450" s="3">
        <v>20.83</v>
      </c>
      <c r="BU450" t="s">
        <v>80</v>
      </c>
      <c r="BV450" t="s">
        <v>90</v>
      </c>
      <c r="BW450" t="s">
        <v>92</v>
      </c>
      <c r="BZ450" s="1">
        <v>45107</v>
      </c>
    </row>
    <row r="451" spans="1:78" ht="15" customHeight="1" x14ac:dyDescent="0.25">
      <c r="A451" t="s">
        <v>398</v>
      </c>
      <c r="B451" t="s">
        <v>94</v>
      </c>
      <c r="C451" s="1">
        <v>44816</v>
      </c>
      <c r="D451" s="1">
        <v>44858</v>
      </c>
      <c r="H451" t="s">
        <v>78</v>
      </c>
      <c r="I451" t="str">
        <f>"KIM"</f>
        <v>KIM</v>
      </c>
      <c r="J451" t="str">
        <f>"WU SUK"</f>
        <v>WU SUK</v>
      </c>
      <c r="K451" t="str">
        <f>"NA"</f>
        <v>NA</v>
      </c>
      <c r="L451" t="str">
        <f>"President"</f>
        <v>President</v>
      </c>
      <c r="M451" t="str">
        <f>"PMB 103 Box 10003"</f>
        <v>PMB 103 Box 10003</v>
      </c>
      <c r="N451" t="str">
        <f>""</f>
        <v/>
      </c>
      <c r="O451" t="str">
        <f>"Saipan"</f>
        <v>Saipan</v>
      </c>
      <c r="P451" t="str">
        <f t="shared" si="255"/>
        <v>MP</v>
      </c>
      <c r="Q451" s="4" t="str">
        <f t="shared" si="257"/>
        <v>96950</v>
      </c>
      <c r="R451" t="str">
        <f t="shared" si="258"/>
        <v>UNITED STATES OF AMERICA</v>
      </c>
      <c r="S451" t="str">
        <f>""</f>
        <v/>
      </c>
      <c r="T451" s="5" t="str">
        <f>"16707830330"</f>
        <v>16707830330</v>
      </c>
      <c r="U451" t="str">
        <f>""</f>
        <v/>
      </c>
      <c r="V451" s="5" t="str">
        <f>""</f>
        <v/>
      </c>
      <c r="W451" t="str">
        <f>"wujinamerica.spn@gmail.com"</f>
        <v>wujinamerica.spn@gmail.com</v>
      </c>
      <c r="X451" t="str">
        <f>"WU JIN AMERICAN ENT INC"</f>
        <v>WU JIN AMERICAN ENT INC</v>
      </c>
      <c r="Y451" t="str">
        <f>""</f>
        <v/>
      </c>
      <c r="Z451" t="str">
        <f>"PMB 103 BOX 10003"</f>
        <v>PMB 103 BOX 10003</v>
      </c>
      <c r="AA451" t="str">
        <f>""</f>
        <v/>
      </c>
      <c r="AB451" t="str">
        <f>"SAIPAN"</f>
        <v>SAIPAN</v>
      </c>
      <c r="AC451" t="str">
        <f t="shared" si="259"/>
        <v>MP</v>
      </c>
      <c r="AD451" t="str">
        <f t="shared" si="260"/>
        <v>96950</v>
      </c>
      <c r="AE451" t="str">
        <f t="shared" si="261"/>
        <v>UNITED STATES OF AMERICA</v>
      </c>
      <c r="AF451" t="str">
        <f>""</f>
        <v/>
      </c>
      <c r="AG451" s="4" t="str">
        <f>"16707830330"</f>
        <v>16707830330</v>
      </c>
      <c r="AH451" t="str">
        <f>""</f>
        <v/>
      </c>
      <c r="AI451" t="str">
        <f>"56152"</f>
        <v>56152</v>
      </c>
      <c r="AJ451" t="s">
        <v>79</v>
      </c>
      <c r="AK451" t="s">
        <v>79</v>
      </c>
      <c r="AL451" t="s">
        <v>80</v>
      </c>
      <c r="AM451" t="s">
        <v>79</v>
      </c>
      <c r="AP451" t="str">
        <f>"MANAGER"</f>
        <v>MANAGER</v>
      </c>
      <c r="AQ451" t="str">
        <f>"11-1021.00"</f>
        <v>11-1021.00</v>
      </c>
      <c r="AR451" t="str">
        <f>"General and Operations Managers"</f>
        <v>General and Operations Managers</v>
      </c>
      <c r="AS451" t="str">
        <f>"BOD"</f>
        <v>BOD</v>
      </c>
      <c r="AT451" t="s">
        <v>82</v>
      </c>
      <c r="AU451" t="str">
        <f>"4"</f>
        <v>4</v>
      </c>
      <c r="AV451" t="str">
        <f>"Subordinate"</f>
        <v>Subordinate</v>
      </c>
      <c r="AW451" t="s">
        <v>79</v>
      </c>
      <c r="AX451" t="str">
        <f>""</f>
        <v/>
      </c>
      <c r="AY451" t="s">
        <v>124</v>
      </c>
      <c r="BA451" t="s">
        <v>399</v>
      </c>
      <c r="BB451" t="s">
        <v>79</v>
      </c>
      <c r="BD451" t="s">
        <v>79</v>
      </c>
      <c r="BG451" t="s">
        <v>82</v>
      </c>
      <c r="BH451">
        <v>12</v>
      </c>
      <c r="BI451" t="s">
        <v>400</v>
      </c>
      <c r="BJ451" s="2" t="s">
        <v>401</v>
      </c>
      <c r="BK451" t="str">
        <f>"PMB 103 Box 10003  GUALO RAI Middle Road"</f>
        <v>PMB 103 Box 10003  GUALO RAI Middle Road</v>
      </c>
      <c r="BL451" t="str">
        <f>""</f>
        <v/>
      </c>
      <c r="BM451" t="str">
        <f>"Saipam"</f>
        <v>Saipam</v>
      </c>
      <c r="BO451" t="s">
        <v>83</v>
      </c>
      <c r="BP451" s="4" t="str">
        <f>"96950"</f>
        <v>96950</v>
      </c>
      <c r="BQ451" t="s">
        <v>79</v>
      </c>
      <c r="BR451" t="str">
        <f>"11-3012.00"</f>
        <v>11-3012.00</v>
      </c>
      <c r="BS451" t="s">
        <v>402</v>
      </c>
      <c r="BT451" s="3">
        <v>21.61</v>
      </c>
      <c r="BU451" t="s">
        <v>80</v>
      </c>
      <c r="BV451" t="s">
        <v>90</v>
      </c>
      <c r="BW451" t="s">
        <v>92</v>
      </c>
      <c r="BZ451" s="1">
        <v>45107</v>
      </c>
    </row>
    <row r="452" spans="1:78" ht="15" customHeight="1" x14ac:dyDescent="0.25">
      <c r="A452" t="s">
        <v>403</v>
      </c>
      <c r="B452" t="s">
        <v>94</v>
      </c>
      <c r="C452" s="1">
        <v>44816</v>
      </c>
      <c r="D452" s="1">
        <v>44858</v>
      </c>
      <c r="H452" t="s">
        <v>78</v>
      </c>
      <c r="I452" t="str">
        <f>"KIM"</f>
        <v>KIM</v>
      </c>
      <c r="J452" t="str">
        <f>"WU SUK"</f>
        <v>WU SUK</v>
      </c>
      <c r="K452" t="str">
        <f>"na"</f>
        <v>na</v>
      </c>
      <c r="L452" t="str">
        <f>"President"</f>
        <v>President</v>
      </c>
      <c r="M452" t="str">
        <f>"PMB 103 Box 10003"</f>
        <v>PMB 103 Box 10003</v>
      </c>
      <c r="N452" t="str">
        <f>""</f>
        <v/>
      </c>
      <c r="O452" t="str">
        <f>"SAIPAN"</f>
        <v>SAIPAN</v>
      </c>
      <c r="P452" t="str">
        <f t="shared" si="255"/>
        <v>MP</v>
      </c>
      <c r="Q452" s="4" t="str">
        <f t="shared" si="257"/>
        <v>96950</v>
      </c>
      <c r="R452" t="str">
        <f t="shared" si="258"/>
        <v>UNITED STATES OF AMERICA</v>
      </c>
      <c r="S452" t="str">
        <f>""</f>
        <v/>
      </c>
      <c r="T452" s="5" t="str">
        <f>"16707830330"</f>
        <v>16707830330</v>
      </c>
      <c r="U452" t="str">
        <f>""</f>
        <v/>
      </c>
      <c r="V452" s="5" t="str">
        <f>""</f>
        <v/>
      </c>
      <c r="W452" t="str">
        <f>"wujinamerica.spn@gmail.com"</f>
        <v>wujinamerica.spn@gmail.com</v>
      </c>
      <c r="X452" t="str">
        <f>"WU JIN AMERICAN ENT INC"</f>
        <v>WU JIN AMERICAN ENT INC</v>
      </c>
      <c r="Y452" t="str">
        <f>""</f>
        <v/>
      </c>
      <c r="Z452" t="str">
        <f>"PMB 103 BOX 10003"</f>
        <v>PMB 103 BOX 10003</v>
      </c>
      <c r="AA452" t="str">
        <f>""</f>
        <v/>
      </c>
      <c r="AB452" t="str">
        <f>"Saipan"</f>
        <v>Saipan</v>
      </c>
      <c r="AC452" t="str">
        <f t="shared" si="259"/>
        <v>MP</v>
      </c>
      <c r="AD452" t="str">
        <f t="shared" si="260"/>
        <v>96950</v>
      </c>
      <c r="AE452" t="str">
        <f t="shared" si="261"/>
        <v>UNITED STATES OF AMERICA</v>
      </c>
      <c r="AF452" t="str">
        <f>""</f>
        <v/>
      </c>
      <c r="AG452" s="4" t="str">
        <f>"16707830330"</f>
        <v>16707830330</v>
      </c>
      <c r="AH452" t="str">
        <f>""</f>
        <v/>
      </c>
      <c r="AI452" t="str">
        <f>"5617"</f>
        <v>5617</v>
      </c>
      <c r="AJ452" t="s">
        <v>79</v>
      </c>
      <c r="AK452" t="s">
        <v>79</v>
      </c>
      <c r="AL452" t="s">
        <v>80</v>
      </c>
      <c r="AM452" t="s">
        <v>79</v>
      </c>
      <c r="AP452" t="str">
        <f>"Supervisor"</f>
        <v>Supervisor</v>
      </c>
      <c r="AQ452" t="str">
        <f>"53-1042.00"</f>
        <v>53-1042.00</v>
      </c>
      <c r="AR452" t="str">
        <f>"First-Line Supervisors of Helpers, Laborers, and Material Movers, Hand"</f>
        <v>First-Line Supervisors of Helpers, Laborers, and Material Movers, Hand</v>
      </c>
      <c r="AS452" t="str">
        <f>"BOD"</f>
        <v>BOD</v>
      </c>
      <c r="AT452" t="s">
        <v>82</v>
      </c>
      <c r="AU452" t="str">
        <f>"4"</f>
        <v>4</v>
      </c>
      <c r="AV452" t="str">
        <f>"Subordinate"</f>
        <v>Subordinate</v>
      </c>
      <c r="AW452" t="s">
        <v>79</v>
      </c>
      <c r="AX452" t="str">
        <f>""</f>
        <v/>
      </c>
      <c r="AY452" t="s">
        <v>124</v>
      </c>
      <c r="BA452" t="s">
        <v>404</v>
      </c>
      <c r="BB452" t="s">
        <v>79</v>
      </c>
      <c r="BD452" t="s">
        <v>79</v>
      </c>
      <c r="BG452" t="s">
        <v>82</v>
      </c>
      <c r="BH452">
        <v>12</v>
      </c>
      <c r="BI452" t="s">
        <v>405</v>
      </c>
      <c r="BJ452" t="s">
        <v>406</v>
      </c>
      <c r="BK452" t="str">
        <f>"GUALO RAI MIDDLE ROAD"</f>
        <v>GUALO RAI MIDDLE ROAD</v>
      </c>
      <c r="BL452" t="str">
        <f>""</f>
        <v/>
      </c>
      <c r="BM452" t="str">
        <f>"SAIPAN"</f>
        <v>SAIPAN</v>
      </c>
      <c r="BO452" t="s">
        <v>83</v>
      </c>
      <c r="BP452" s="4" t="str">
        <f>"96950"</f>
        <v>96950</v>
      </c>
      <c r="BQ452" t="s">
        <v>79</v>
      </c>
      <c r="BR452" t="str">
        <f>"37-1011.00"</f>
        <v>37-1011.00</v>
      </c>
      <c r="BS452" t="s">
        <v>407</v>
      </c>
      <c r="BT452" s="3">
        <v>9.4</v>
      </c>
      <c r="BU452" t="s">
        <v>80</v>
      </c>
      <c r="BV452" t="s">
        <v>90</v>
      </c>
      <c r="BW452" t="s">
        <v>92</v>
      </c>
      <c r="BZ452" s="1">
        <v>45107</v>
      </c>
    </row>
    <row r="453" spans="1:78" ht="15" customHeight="1" x14ac:dyDescent="0.25">
      <c r="A453" t="s">
        <v>408</v>
      </c>
      <c r="B453" t="s">
        <v>94</v>
      </c>
      <c r="C453" s="1">
        <v>44816</v>
      </c>
      <c r="D453" s="1">
        <v>44858</v>
      </c>
      <c r="H453" t="s">
        <v>78</v>
      </c>
      <c r="I453" t="str">
        <f>"BORLAZA"</f>
        <v>BORLAZA</v>
      </c>
      <c r="J453" t="str">
        <f>"JOMELYN"</f>
        <v>JOMELYN</v>
      </c>
      <c r="K453" t="str">
        <f>"ESTOPARE"</f>
        <v>ESTOPARE</v>
      </c>
      <c r="L453" t="str">
        <f>"ACCOUTING ASSOCIATE"</f>
        <v>ACCOUTING ASSOCIATE</v>
      </c>
      <c r="M453" t="str">
        <f>"P.O. BOX 501217"</f>
        <v>P.O. BOX 501217</v>
      </c>
      <c r="N453" t="str">
        <f>""</f>
        <v/>
      </c>
      <c r="O453" t="str">
        <f>"SAIPAN"</f>
        <v>SAIPAN</v>
      </c>
      <c r="P453" t="str">
        <f t="shared" si="255"/>
        <v>MP</v>
      </c>
      <c r="Q453" s="4" t="str">
        <f t="shared" si="257"/>
        <v>96950</v>
      </c>
      <c r="R453" t="str">
        <f t="shared" si="258"/>
        <v>UNITED STATES OF AMERICA</v>
      </c>
      <c r="S453" t="str">
        <f>"N/A"</f>
        <v>N/A</v>
      </c>
      <c r="T453" s="5" t="str">
        <f>"16702347898"</f>
        <v>16702347898</v>
      </c>
      <c r="U453" t="str">
        <f>""</f>
        <v/>
      </c>
      <c r="V453" s="5" t="str">
        <f>""</f>
        <v/>
      </c>
      <c r="W453" t="str">
        <f>"resumes.jtga@gmail.com"</f>
        <v>resumes.jtga@gmail.com</v>
      </c>
      <c r="X453" t="str">
        <f>"JUAN T. GUERRERO &amp; ASSOCIATES, INC."</f>
        <v>JUAN T. GUERRERO &amp; ASSOCIATES, INC.</v>
      </c>
      <c r="Y453" t="str">
        <f>"dba GTS ENTERPRISES"</f>
        <v>dba GTS ENTERPRISES</v>
      </c>
      <c r="Z453" t="str">
        <f>"P.O. BOX 501217"</f>
        <v>P.O. BOX 501217</v>
      </c>
      <c r="AA453" t="str">
        <f>""</f>
        <v/>
      </c>
      <c r="AB453" t="str">
        <f>"SAIPAN"</f>
        <v>SAIPAN</v>
      </c>
      <c r="AC453" t="str">
        <f t="shared" si="259"/>
        <v>MP</v>
      </c>
      <c r="AD453" t="str">
        <f t="shared" si="260"/>
        <v>96950</v>
      </c>
      <c r="AE453" t="str">
        <f t="shared" si="261"/>
        <v>UNITED STATES OF AMERICA</v>
      </c>
      <c r="AF453" t="str">
        <f>"n/a"</f>
        <v>n/a</v>
      </c>
      <c r="AG453" s="4" t="str">
        <f>"16702347898"</f>
        <v>16702347898</v>
      </c>
      <c r="AH453" t="str">
        <f>""</f>
        <v/>
      </c>
      <c r="AI453" t="str">
        <f>"561320"</f>
        <v>561320</v>
      </c>
      <c r="AJ453" t="s">
        <v>79</v>
      </c>
      <c r="AK453" t="s">
        <v>79</v>
      </c>
      <c r="AL453" t="s">
        <v>80</v>
      </c>
      <c r="AM453" t="s">
        <v>79</v>
      </c>
      <c r="AP453" t="str">
        <f>"MAIDS &amp; HOUSEKEEPING CLEANERS"</f>
        <v>MAIDS &amp; HOUSEKEEPING CLEANERS</v>
      </c>
      <c r="AQ453" t="str">
        <f>"37-2012.00"</f>
        <v>37-2012.00</v>
      </c>
      <c r="AR453" t="str">
        <f>"Maids and Housekeeping Cleaners"</f>
        <v>Maids and Housekeeping Cleaners</v>
      </c>
      <c r="AS453" t="str">
        <f>"General &amp; Operation Manager"</f>
        <v>General &amp; Operation Manager</v>
      </c>
      <c r="AT453" t="s">
        <v>79</v>
      </c>
      <c r="AU453" t="str">
        <f>""</f>
        <v/>
      </c>
      <c r="AV453" t="str">
        <f>""</f>
        <v/>
      </c>
      <c r="AW453" t="s">
        <v>79</v>
      </c>
      <c r="AX453" t="str">
        <f>""</f>
        <v/>
      </c>
      <c r="AY453" t="s">
        <v>84</v>
      </c>
      <c r="BA453" t="s">
        <v>80</v>
      </c>
      <c r="BB453" t="s">
        <v>79</v>
      </c>
      <c r="BD453" t="s">
        <v>79</v>
      </c>
      <c r="BG453" t="s">
        <v>82</v>
      </c>
      <c r="BH453">
        <v>3</v>
      </c>
      <c r="BI453" t="s">
        <v>409</v>
      </c>
      <c r="BJ453" s="2" t="s">
        <v>410</v>
      </c>
      <c r="BK453" t="str">
        <f>"SONGSONG VILLAGE"</f>
        <v>SONGSONG VILLAGE</v>
      </c>
      <c r="BL453" t="str">
        <f>""</f>
        <v/>
      </c>
      <c r="BM453" t="str">
        <f>"ROTA"</f>
        <v>ROTA</v>
      </c>
      <c r="BO453" t="s">
        <v>83</v>
      </c>
      <c r="BP453" s="4" t="str">
        <f>"96951"</f>
        <v>96951</v>
      </c>
      <c r="BQ453" t="s">
        <v>79</v>
      </c>
      <c r="BR453" t="str">
        <f>"37-2012.00"</f>
        <v>37-2012.00</v>
      </c>
      <c r="BS453" t="s">
        <v>109</v>
      </c>
      <c r="BT453" s="3">
        <v>7.56</v>
      </c>
      <c r="BU453" t="s">
        <v>80</v>
      </c>
      <c r="BV453" t="s">
        <v>90</v>
      </c>
      <c r="BW453" t="s">
        <v>92</v>
      </c>
      <c r="BZ453" s="1">
        <v>45107</v>
      </c>
    </row>
    <row r="454" spans="1:78" ht="15" customHeight="1" x14ac:dyDescent="0.25">
      <c r="A454" t="s">
        <v>411</v>
      </c>
      <c r="B454" t="s">
        <v>94</v>
      </c>
      <c r="C454" s="1">
        <v>44816</v>
      </c>
      <c r="D454" s="1">
        <v>44858</v>
      </c>
      <c r="H454" t="s">
        <v>78</v>
      </c>
      <c r="I454" t="str">
        <f>"Kim"</f>
        <v>Kim</v>
      </c>
      <c r="J454" t="str">
        <f>"Doyi"</f>
        <v>Doyi</v>
      </c>
      <c r="K454" t="str">
        <f>""</f>
        <v/>
      </c>
      <c r="L454" t="str">
        <f>"Corporate Secretary"</f>
        <v>Corporate Secretary</v>
      </c>
      <c r="M454" t="str">
        <f>"P.O. Box 506003"</f>
        <v>P.O. Box 506003</v>
      </c>
      <c r="N454" t="str">
        <f>""</f>
        <v/>
      </c>
      <c r="O454" t="str">
        <f>"Saipan"</f>
        <v>Saipan</v>
      </c>
      <c r="P454" t="str">
        <f t="shared" si="255"/>
        <v>MP</v>
      </c>
      <c r="Q454" s="4" t="str">
        <f t="shared" si="257"/>
        <v>96950</v>
      </c>
      <c r="R454" t="str">
        <f t="shared" si="258"/>
        <v>UNITED STATES OF AMERICA</v>
      </c>
      <c r="S454" t="str">
        <f>""</f>
        <v/>
      </c>
      <c r="T454" s="5" t="str">
        <f>"16702353313"</f>
        <v>16702353313</v>
      </c>
      <c r="U454" t="str">
        <f>""</f>
        <v/>
      </c>
      <c r="V454" s="5" t="str">
        <f>""</f>
        <v/>
      </c>
      <c r="W454" t="str">
        <f>"saipanwinners5@gmail.com"</f>
        <v>saipanwinners5@gmail.com</v>
      </c>
      <c r="X454" t="str">
        <f>"Marianas Meat Harvesting Corporation"</f>
        <v>Marianas Meat Harvesting Corporation</v>
      </c>
      <c r="Y454" t="str">
        <f>"CK Smokehouse &amp; Salad, Fresh Market, MMHC Slaughterhouse"</f>
        <v>CK Smokehouse &amp; Salad, Fresh Market, MMHC Slaughterhouse</v>
      </c>
      <c r="Z454" t="str">
        <f>"P.O. Box 506003"</f>
        <v>P.O. Box 506003</v>
      </c>
      <c r="AA454" t="str">
        <f>""</f>
        <v/>
      </c>
      <c r="AB454" t="str">
        <f>"Saipan"</f>
        <v>Saipan</v>
      </c>
      <c r="AC454" t="str">
        <f t="shared" si="259"/>
        <v>MP</v>
      </c>
      <c r="AD454" t="str">
        <f t="shared" si="260"/>
        <v>96950</v>
      </c>
      <c r="AE454" t="str">
        <f t="shared" si="261"/>
        <v>UNITED STATES OF AMERICA</v>
      </c>
      <c r="AF454" t="str">
        <f>""</f>
        <v/>
      </c>
      <c r="AG454" s="4" t="str">
        <f>"16702353313"</f>
        <v>16702353313</v>
      </c>
      <c r="AH454" t="str">
        <f>""</f>
        <v/>
      </c>
      <c r="AI454" t="str">
        <f>"722511"</f>
        <v>722511</v>
      </c>
      <c r="AJ454" t="s">
        <v>79</v>
      </c>
      <c r="AK454" t="s">
        <v>79</v>
      </c>
      <c r="AL454" t="s">
        <v>80</v>
      </c>
      <c r="AM454" t="s">
        <v>79</v>
      </c>
      <c r="AP454" t="str">
        <f>"Food Service Worker"</f>
        <v>Food Service Worker</v>
      </c>
      <c r="AQ454" t="str">
        <f>"35-2021.00"</f>
        <v>35-2021.00</v>
      </c>
      <c r="AR454" t="str">
        <f>"Food Preparation Workers"</f>
        <v>Food Preparation Workers</v>
      </c>
      <c r="AS454" t="str">
        <f>"General Manager"</f>
        <v>General Manager</v>
      </c>
      <c r="AT454" t="s">
        <v>79</v>
      </c>
      <c r="AU454" t="str">
        <f>""</f>
        <v/>
      </c>
      <c r="AV454" t="str">
        <f>""</f>
        <v/>
      </c>
      <c r="AW454" t="s">
        <v>79</v>
      </c>
      <c r="AX454" t="str">
        <f>""</f>
        <v/>
      </c>
      <c r="AY454" t="s">
        <v>84</v>
      </c>
      <c r="BA454" t="s">
        <v>80</v>
      </c>
      <c r="BB454" t="s">
        <v>79</v>
      </c>
      <c r="BD454" t="s">
        <v>79</v>
      </c>
      <c r="BG454" t="s">
        <v>82</v>
      </c>
      <c r="BH454">
        <v>12</v>
      </c>
      <c r="BI454" t="s">
        <v>412</v>
      </c>
      <c r="BJ454" t="s">
        <v>413</v>
      </c>
      <c r="BK454" t="str">
        <f>"Konsolacion St. "</f>
        <v xml:space="preserve">Konsolacion St. </v>
      </c>
      <c r="BL454" t="str">
        <f>"Chalan Kanoa"</f>
        <v>Chalan Kanoa</v>
      </c>
      <c r="BM454" t="str">
        <f>"Saipan"</f>
        <v>Saipan</v>
      </c>
      <c r="BO454" t="s">
        <v>83</v>
      </c>
      <c r="BP454" s="4" t="str">
        <f>"96950"</f>
        <v>96950</v>
      </c>
      <c r="BQ454" t="s">
        <v>79</v>
      </c>
      <c r="BR454" t="str">
        <f>"35-2021.00"</f>
        <v>35-2021.00</v>
      </c>
      <c r="BS454" t="s">
        <v>162</v>
      </c>
      <c r="BT454" s="3">
        <v>7.87</v>
      </c>
      <c r="BU454" t="s">
        <v>80</v>
      </c>
      <c r="BV454" t="s">
        <v>90</v>
      </c>
      <c r="BW454" t="s">
        <v>92</v>
      </c>
      <c r="BZ454" s="1">
        <v>45107</v>
      </c>
    </row>
    <row r="455" spans="1:78" ht="15" customHeight="1" x14ac:dyDescent="0.25">
      <c r="A455" t="s">
        <v>414</v>
      </c>
      <c r="B455" t="s">
        <v>94</v>
      </c>
      <c r="C455" s="1">
        <v>44816</v>
      </c>
      <c r="D455" s="1">
        <v>44858</v>
      </c>
      <c r="H455" t="s">
        <v>78</v>
      </c>
      <c r="I455" t="str">
        <f>"Gvan"</f>
        <v>Gvan</v>
      </c>
      <c r="J455" t="str">
        <f>"Natalia"</f>
        <v>Natalia</v>
      </c>
      <c r="K455" t="str">
        <f>"Mankhoevna"</f>
        <v>Mankhoevna</v>
      </c>
      <c r="L455" t="str">
        <f>"President"</f>
        <v>President</v>
      </c>
      <c r="M455" t="str">
        <f>"PO Box 502690"</f>
        <v>PO Box 502690</v>
      </c>
      <c r="N455" t="str">
        <f>""</f>
        <v/>
      </c>
      <c r="O455" t="str">
        <f>"Saipan"</f>
        <v>Saipan</v>
      </c>
      <c r="P455" t="str">
        <f t="shared" si="255"/>
        <v>MP</v>
      </c>
      <c r="Q455" s="4" t="str">
        <f t="shared" si="257"/>
        <v>96950</v>
      </c>
      <c r="R455" t="str">
        <f t="shared" si="258"/>
        <v>UNITED STATES OF AMERICA</v>
      </c>
      <c r="S455" t="str">
        <f>""</f>
        <v/>
      </c>
      <c r="T455" s="5" t="str">
        <f>"16702349083"</f>
        <v>16702349083</v>
      </c>
      <c r="U455" t="str">
        <f>""</f>
        <v/>
      </c>
      <c r="V455" s="5" t="str">
        <f>""</f>
        <v/>
      </c>
      <c r="W455" t="str">
        <f>"hochalo13@hotmail.com"</f>
        <v>hochalo13@hotmail.com</v>
      </c>
      <c r="X455" t="str">
        <f>"Marianas Repairs Company, Inc."</f>
        <v>Marianas Repairs Company, Inc.</v>
      </c>
      <c r="Y455" t="str">
        <f>""</f>
        <v/>
      </c>
      <c r="Z455" t="str">
        <f>"PO Box 502690"</f>
        <v>PO Box 502690</v>
      </c>
      <c r="AA455" t="str">
        <f>""</f>
        <v/>
      </c>
      <c r="AB455" t="str">
        <f>"Saipan"</f>
        <v>Saipan</v>
      </c>
      <c r="AC455" t="str">
        <f t="shared" si="259"/>
        <v>MP</v>
      </c>
      <c r="AD455" t="str">
        <f t="shared" si="260"/>
        <v>96950</v>
      </c>
      <c r="AE455" t="str">
        <f t="shared" si="261"/>
        <v>UNITED STATES OF AMERICA</v>
      </c>
      <c r="AF455" t="str">
        <f>""</f>
        <v/>
      </c>
      <c r="AG455" s="4" t="str">
        <f>"16702349083"</f>
        <v>16702349083</v>
      </c>
      <c r="AH455" t="str">
        <f>""</f>
        <v/>
      </c>
      <c r="AI455" t="str">
        <f>"811111"</f>
        <v>811111</v>
      </c>
      <c r="AJ455" t="s">
        <v>79</v>
      </c>
      <c r="AK455" t="s">
        <v>79</v>
      </c>
      <c r="AL455" t="s">
        <v>80</v>
      </c>
      <c r="AM455" t="s">
        <v>79</v>
      </c>
      <c r="AP455" t="str">
        <f>"Mobile Heavy Equipment Mechanics, Except Engines"</f>
        <v>Mobile Heavy Equipment Mechanics, Except Engines</v>
      </c>
      <c r="AQ455" t="str">
        <f>"49-3042.00"</f>
        <v>49-3042.00</v>
      </c>
      <c r="AR455" t="str">
        <f>"Mobile Heavy Equipment Mechanics, Except Engines"</f>
        <v>Mobile Heavy Equipment Mechanics, Except Engines</v>
      </c>
      <c r="AS455" t="str">
        <f>"Supervisor"</f>
        <v>Supervisor</v>
      </c>
      <c r="AT455" t="s">
        <v>79</v>
      </c>
      <c r="AU455" t="str">
        <f>""</f>
        <v/>
      </c>
      <c r="AV455" t="str">
        <f>""</f>
        <v/>
      </c>
      <c r="AW455" t="s">
        <v>79</v>
      </c>
      <c r="AX455" t="str">
        <f>""</f>
        <v/>
      </c>
      <c r="AY455" t="s">
        <v>84</v>
      </c>
      <c r="BA455" t="s">
        <v>119</v>
      </c>
      <c r="BB455" t="s">
        <v>79</v>
      </c>
      <c r="BD455" t="s">
        <v>79</v>
      </c>
      <c r="BG455" t="s">
        <v>82</v>
      </c>
      <c r="BH455">
        <v>24</v>
      </c>
      <c r="BI455" t="s">
        <v>168</v>
      </c>
      <c r="BJ455" s="2" t="s">
        <v>415</v>
      </c>
      <c r="BK455" t="str">
        <f>"Chalan Pale Arnold Middle Road"</f>
        <v>Chalan Pale Arnold Middle Road</v>
      </c>
      <c r="BL455" t="str">
        <f>""</f>
        <v/>
      </c>
      <c r="BM455" t="str">
        <f>"Saipan"</f>
        <v>Saipan</v>
      </c>
      <c r="BO455" t="s">
        <v>83</v>
      </c>
      <c r="BP455" s="4" t="str">
        <f>"96950"</f>
        <v>96950</v>
      </c>
      <c r="BQ455" t="s">
        <v>79</v>
      </c>
      <c r="BR455" t="str">
        <f>"49-3042.00"</f>
        <v>49-3042.00</v>
      </c>
      <c r="BS455" t="s">
        <v>170</v>
      </c>
      <c r="BT455" s="3">
        <v>11</v>
      </c>
      <c r="BU455" t="s">
        <v>80</v>
      </c>
      <c r="BV455" t="s">
        <v>90</v>
      </c>
      <c r="BW455" t="s">
        <v>92</v>
      </c>
      <c r="BZ455" s="1">
        <v>45107</v>
      </c>
    </row>
    <row r="456" spans="1:78" ht="15" customHeight="1" x14ac:dyDescent="0.25">
      <c r="A456" t="s">
        <v>416</v>
      </c>
      <c r="B456" t="s">
        <v>94</v>
      </c>
      <c r="C456" s="1">
        <v>44816</v>
      </c>
      <c r="D456" s="1">
        <v>44858</v>
      </c>
      <c r="H456" t="s">
        <v>78</v>
      </c>
      <c r="I456" t="str">
        <f>"YOUSUF"</f>
        <v>YOUSUF</v>
      </c>
      <c r="J456" t="str">
        <f>"ABU"</f>
        <v>ABU</v>
      </c>
      <c r="K456" t="str">
        <f>""</f>
        <v/>
      </c>
      <c r="L456" t="str">
        <f>"SOLE PROPRIETOR/OWNER"</f>
        <v>SOLE PROPRIETOR/OWNER</v>
      </c>
      <c r="M456" t="str">
        <f>"BEACH ROAD SAN ANTONIO"</f>
        <v>BEACH ROAD SAN ANTONIO</v>
      </c>
      <c r="N456" t="str">
        <f>"P.O. BOX 504751 CK"</f>
        <v>P.O. BOX 504751 CK</v>
      </c>
      <c r="O456" t="str">
        <f>"SAIPAN"</f>
        <v>SAIPAN</v>
      </c>
      <c r="P456" t="str">
        <f t="shared" si="255"/>
        <v>MP</v>
      </c>
      <c r="Q456" s="4" t="str">
        <f t="shared" si="257"/>
        <v>96950</v>
      </c>
      <c r="R456" t="str">
        <f t="shared" si="258"/>
        <v>UNITED STATES OF AMERICA</v>
      </c>
      <c r="S456" t="str">
        <f>""</f>
        <v/>
      </c>
      <c r="T456" s="5" t="str">
        <f>"16702874617"</f>
        <v>16702874617</v>
      </c>
      <c r="U456" t="str">
        <f>""</f>
        <v/>
      </c>
      <c r="V456" s="5" t="str">
        <f>""</f>
        <v/>
      </c>
      <c r="W456" t="str">
        <f>"ABUYOUSUFMOJUMDAR@YAHOO.COM"</f>
        <v>ABUYOUSUFMOJUMDAR@YAHOO.COM</v>
      </c>
      <c r="X456" t="str">
        <f>"ABU YOUSUF"</f>
        <v>ABU YOUSUF</v>
      </c>
      <c r="Y456" t="str">
        <f>"GREE LAWN CARE SERVICE"</f>
        <v>GREE LAWN CARE SERVICE</v>
      </c>
      <c r="Z456" t="str">
        <f>"BEACH ROAD SAN ANTONIO"</f>
        <v>BEACH ROAD SAN ANTONIO</v>
      </c>
      <c r="AA456" t="str">
        <f>"P.O. BOX 504751 CK"</f>
        <v>P.O. BOX 504751 CK</v>
      </c>
      <c r="AB456" t="str">
        <f>"Saipan"</f>
        <v>Saipan</v>
      </c>
      <c r="AC456" t="str">
        <f t="shared" si="259"/>
        <v>MP</v>
      </c>
      <c r="AD456" t="str">
        <f t="shared" si="260"/>
        <v>96950</v>
      </c>
      <c r="AE456" t="str">
        <f t="shared" si="261"/>
        <v>UNITED STATES OF AMERICA</v>
      </c>
      <c r="AF456" t="str">
        <f>""</f>
        <v/>
      </c>
      <c r="AG456" s="4" t="str">
        <f>"16702874617"</f>
        <v>16702874617</v>
      </c>
      <c r="AH456" t="str">
        <f>""</f>
        <v/>
      </c>
      <c r="AI456" t="str">
        <f>"561730"</f>
        <v>561730</v>
      </c>
      <c r="AJ456" t="s">
        <v>79</v>
      </c>
      <c r="AK456" t="s">
        <v>79</v>
      </c>
      <c r="AL456" t="s">
        <v>80</v>
      </c>
      <c r="AM456" t="s">
        <v>79</v>
      </c>
      <c r="AP456" t="str">
        <f>"LAWN CARE &amp; GROUND MAINTENANCE WORKER"</f>
        <v>LAWN CARE &amp; GROUND MAINTENANCE WORKER</v>
      </c>
      <c r="AQ456" t="str">
        <f>"37-3011.00"</f>
        <v>37-3011.00</v>
      </c>
      <c r="AR456" t="str">
        <f>"Landscaping and Groundskeeping Workers"</f>
        <v>Landscaping and Groundskeeping Workers</v>
      </c>
      <c r="AS456" t="str">
        <f>"OWNER"</f>
        <v>OWNER</v>
      </c>
      <c r="AT456" t="s">
        <v>79</v>
      </c>
      <c r="AU456" t="str">
        <f>""</f>
        <v/>
      </c>
      <c r="AV456" t="str">
        <f>""</f>
        <v/>
      </c>
      <c r="AW456" t="s">
        <v>79</v>
      </c>
      <c r="AX456" t="str">
        <f>""</f>
        <v/>
      </c>
      <c r="AY456" t="s">
        <v>81</v>
      </c>
      <c r="BA456" t="s">
        <v>161</v>
      </c>
      <c r="BB456" t="s">
        <v>79</v>
      </c>
      <c r="BD456" t="s">
        <v>79</v>
      </c>
      <c r="BG456" t="s">
        <v>82</v>
      </c>
      <c r="BH456">
        <v>1</v>
      </c>
      <c r="BI456" t="s">
        <v>417</v>
      </c>
      <c r="BJ456" t="s">
        <v>418</v>
      </c>
      <c r="BK456" t="str">
        <f>"BEACH ROAD SAN ANTONIO"</f>
        <v>BEACH ROAD SAN ANTONIO</v>
      </c>
      <c r="BL456" t="str">
        <f>"P.O. BOX 504751 CK"</f>
        <v>P.O. BOX 504751 CK</v>
      </c>
      <c r="BM456" t="str">
        <f>"SAIPAN"</f>
        <v>SAIPAN</v>
      </c>
      <c r="BO456" t="s">
        <v>83</v>
      </c>
      <c r="BP456" s="4" t="str">
        <f>"96950"</f>
        <v>96950</v>
      </c>
      <c r="BQ456" t="s">
        <v>79</v>
      </c>
      <c r="BR456" t="str">
        <f>"37-3011.00"</f>
        <v>37-3011.00</v>
      </c>
      <c r="BS456" t="s">
        <v>122</v>
      </c>
      <c r="BT456" s="3">
        <v>8.1300000000000008</v>
      </c>
      <c r="BU456" t="s">
        <v>80</v>
      </c>
      <c r="BV456" t="s">
        <v>90</v>
      </c>
      <c r="BW456" t="s">
        <v>92</v>
      </c>
      <c r="BZ456" s="1">
        <v>45107</v>
      </c>
    </row>
    <row r="457" spans="1:78" ht="15" customHeight="1" x14ac:dyDescent="0.25">
      <c r="A457" t="s">
        <v>377</v>
      </c>
      <c r="B457" t="s">
        <v>94</v>
      </c>
      <c r="C457" s="1">
        <v>44815</v>
      </c>
      <c r="D457" s="1">
        <v>44858</v>
      </c>
      <c r="H457" t="s">
        <v>78</v>
      </c>
      <c r="I457" t="str">
        <f>"CRUZ"</f>
        <v>CRUZ</v>
      </c>
      <c r="J457" t="str">
        <f>"MARIA THERESA"</f>
        <v>MARIA THERESA</v>
      </c>
      <c r="K457" t="str">
        <f>"V"</f>
        <v>V</v>
      </c>
      <c r="L457" t="str">
        <f>"GENERAL MANAGER"</f>
        <v>GENERAL MANAGER</v>
      </c>
      <c r="M457" t="str">
        <f>"P O BOX 502305"</f>
        <v>P O BOX 502305</v>
      </c>
      <c r="N457" t="str">
        <f>"104 MANGO CITY"</f>
        <v>104 MANGO CITY</v>
      </c>
      <c r="O457" t="str">
        <f>"SAIPAN"</f>
        <v>SAIPAN</v>
      </c>
      <c r="P457" t="str">
        <f>"NA"</f>
        <v>NA</v>
      </c>
      <c r="Q457" s="4" t="str">
        <f t="shared" si="257"/>
        <v>96950</v>
      </c>
      <c r="R457" t="str">
        <f>"PHILIPPINES"</f>
        <v>PHILIPPINES</v>
      </c>
      <c r="S457" t="str">
        <f>""</f>
        <v/>
      </c>
      <c r="T457" s="5" t="str">
        <f>"16702337461"</f>
        <v>16702337461</v>
      </c>
      <c r="U457" t="str">
        <f>""</f>
        <v/>
      </c>
      <c r="V457" s="5" t="str">
        <f>""</f>
        <v/>
      </c>
      <c r="W457" t="str">
        <f>"matheresacrz@yahoo.com"</f>
        <v>matheresacrz@yahoo.com</v>
      </c>
      <c r="X457" t="str">
        <f>"MARIA THERESA CRUZ"</f>
        <v>MARIA THERESA CRUZ</v>
      </c>
      <c r="Y457" t="str">
        <f>"JJ&amp;K COMPANY"</f>
        <v>JJ&amp;K COMPANY</v>
      </c>
      <c r="Z457" t="str">
        <f>"P O BOX 502305"</f>
        <v>P O BOX 502305</v>
      </c>
      <c r="AA457" t="str">
        <f>"104 MANGO CITY"</f>
        <v>104 MANGO CITY</v>
      </c>
      <c r="AB457" t="str">
        <f>"SAIPAN"</f>
        <v>SAIPAN</v>
      </c>
      <c r="AC457" t="str">
        <f t="shared" si="259"/>
        <v>MP</v>
      </c>
      <c r="AD457" t="str">
        <f t="shared" si="260"/>
        <v>96950</v>
      </c>
      <c r="AE457" t="str">
        <f t="shared" si="261"/>
        <v>UNITED STATES OF AMERICA</v>
      </c>
      <c r="AF457" t="str">
        <f>""</f>
        <v/>
      </c>
      <c r="AG457" s="4" t="str">
        <f>"16702337461"</f>
        <v>16702337461</v>
      </c>
      <c r="AH457" t="str">
        <f>""</f>
        <v/>
      </c>
      <c r="AI457" t="str">
        <f>"56132"</f>
        <v>56132</v>
      </c>
      <c r="AJ457" t="s">
        <v>79</v>
      </c>
      <c r="AK457" t="s">
        <v>79</v>
      </c>
      <c r="AL457" t="s">
        <v>80</v>
      </c>
      <c r="AM457" t="s">
        <v>79</v>
      </c>
      <c r="AP457" t="str">
        <f>"COOK"</f>
        <v>COOK</v>
      </c>
      <c r="AQ457" t="str">
        <f>"35-2014.00"</f>
        <v>35-2014.00</v>
      </c>
      <c r="AR457" t="str">
        <f>"Cooks, Restaurant"</f>
        <v>Cooks, Restaurant</v>
      </c>
      <c r="AS457" t="str">
        <f>"NONE"</f>
        <v>NONE</v>
      </c>
      <c r="AT457" t="s">
        <v>79</v>
      </c>
      <c r="AU457" t="str">
        <f>""</f>
        <v/>
      </c>
      <c r="AV457" t="str">
        <f>""</f>
        <v/>
      </c>
      <c r="AW457" t="s">
        <v>79</v>
      </c>
      <c r="AX457" t="str">
        <f>""</f>
        <v/>
      </c>
      <c r="AY457" t="s">
        <v>84</v>
      </c>
      <c r="BA457" t="s">
        <v>115</v>
      </c>
      <c r="BB457" t="s">
        <v>79</v>
      </c>
      <c r="BD457" t="s">
        <v>79</v>
      </c>
      <c r="BG457" t="s">
        <v>82</v>
      </c>
      <c r="BH457">
        <v>12</v>
      </c>
      <c r="BI457" t="s">
        <v>285</v>
      </c>
      <c r="BJ457" t="s">
        <v>291</v>
      </c>
      <c r="BK457" t="str">
        <f>"P O BOX 502305"</f>
        <v>P O BOX 502305</v>
      </c>
      <c r="BL457" t="str">
        <f>"104 MANGO CITY MIDDLE ROAD GARAPAN"</f>
        <v>104 MANGO CITY MIDDLE ROAD GARAPAN</v>
      </c>
      <c r="BM457" t="str">
        <f>"SAIPAN"</f>
        <v>SAIPAN</v>
      </c>
      <c r="BO457" t="s">
        <v>83</v>
      </c>
      <c r="BP457" s="4" t="str">
        <f>"96950"</f>
        <v>96950</v>
      </c>
      <c r="BQ457" t="s">
        <v>79</v>
      </c>
      <c r="BR457" t="str">
        <f>"35-2014.00"</f>
        <v>35-2014.00</v>
      </c>
      <c r="BS457" t="s">
        <v>117</v>
      </c>
      <c r="BT457" s="3">
        <v>8.5500000000000007</v>
      </c>
      <c r="BU457" t="s">
        <v>80</v>
      </c>
      <c r="BV457" t="s">
        <v>90</v>
      </c>
      <c r="BW457" t="s">
        <v>92</v>
      </c>
      <c r="BZ457" s="1">
        <v>45107</v>
      </c>
    </row>
    <row r="458" spans="1:78" ht="15" customHeight="1" x14ac:dyDescent="0.25">
      <c r="A458" t="s">
        <v>378</v>
      </c>
      <c r="B458" t="s">
        <v>94</v>
      </c>
      <c r="C458" s="1">
        <v>44815</v>
      </c>
      <c r="D458" s="1">
        <v>44858</v>
      </c>
      <c r="H458" t="s">
        <v>78</v>
      </c>
      <c r="I458" t="str">
        <f>"ARIZALA"</f>
        <v>ARIZALA</v>
      </c>
      <c r="J458" t="str">
        <f>"JESSIE"</f>
        <v>JESSIE</v>
      </c>
      <c r="K458" t="str">
        <f>"ANDRADA"</f>
        <v>ANDRADA</v>
      </c>
      <c r="L458" t="str">
        <f>"MANAGER"</f>
        <v>MANAGER</v>
      </c>
      <c r="M458" t="str">
        <f>"P.O. BOX 502305"</f>
        <v>P.O. BOX 502305</v>
      </c>
      <c r="N458" t="str">
        <f>"JAPON STREET MIDDLE ROAD GARAPAN"</f>
        <v>JAPON STREET MIDDLE ROAD GARAPAN</v>
      </c>
      <c r="O458" t="str">
        <f>"SAIPAN"</f>
        <v>SAIPAN</v>
      </c>
      <c r="P458" t="str">
        <f t="shared" ref="P458:P482" si="262">"MP"</f>
        <v>MP</v>
      </c>
      <c r="Q458" s="4" t="str">
        <f t="shared" si="257"/>
        <v>96950</v>
      </c>
      <c r="R458" t="str">
        <f t="shared" ref="R458:R485" si="263">"UNITED STATES OF AMERICA"</f>
        <v>UNITED STATES OF AMERICA</v>
      </c>
      <c r="S458" t="str">
        <f>""</f>
        <v/>
      </c>
      <c r="T458" s="5" t="str">
        <f>"16702337461"</f>
        <v>16702337461</v>
      </c>
      <c r="U458" t="str">
        <f>""</f>
        <v/>
      </c>
      <c r="V458" s="5" t="str">
        <f>""</f>
        <v/>
      </c>
      <c r="W458" t="str">
        <f>"matheresacrz@yahoo.com"</f>
        <v>matheresacrz@yahoo.com</v>
      </c>
      <c r="X458" t="str">
        <f>"JESSIE A ARIZALA"</f>
        <v>JESSIE A ARIZALA</v>
      </c>
      <c r="Y458" t="str">
        <f>"SYSTEMS SERVICES COMPANY"</f>
        <v>SYSTEMS SERVICES COMPANY</v>
      </c>
      <c r="Z458" t="str">
        <f>"JAPON STREET MIDDLE ROAD GUALO RAI"</f>
        <v>JAPON STREET MIDDLE ROAD GUALO RAI</v>
      </c>
      <c r="AA458" t="str">
        <f>"P O BOX 502305"</f>
        <v>P O BOX 502305</v>
      </c>
      <c r="AB458" t="str">
        <f>"SAIPAN"</f>
        <v>SAIPAN</v>
      </c>
      <c r="AC458" t="str">
        <f t="shared" si="259"/>
        <v>MP</v>
      </c>
      <c r="AD458" t="str">
        <f t="shared" si="260"/>
        <v>96950</v>
      </c>
      <c r="AE458" t="str">
        <f t="shared" si="261"/>
        <v>UNITED STATES OF AMERICA</v>
      </c>
      <c r="AF458" t="str">
        <f>""</f>
        <v/>
      </c>
      <c r="AG458" s="4" t="str">
        <f>"16702337461"</f>
        <v>16702337461</v>
      </c>
      <c r="AH458" t="str">
        <f>""</f>
        <v/>
      </c>
      <c r="AI458" t="str">
        <f>"56132"</f>
        <v>56132</v>
      </c>
      <c r="AJ458" t="s">
        <v>79</v>
      </c>
      <c r="AK458" t="s">
        <v>79</v>
      </c>
      <c r="AL458" t="s">
        <v>80</v>
      </c>
      <c r="AM458" t="s">
        <v>79</v>
      </c>
      <c r="AP458" t="str">
        <f>"COMMERCIAL CLEANER"</f>
        <v>COMMERCIAL CLEANER</v>
      </c>
      <c r="AQ458" t="str">
        <f>""</f>
        <v/>
      </c>
      <c r="AR458" t="str">
        <f>""</f>
        <v/>
      </c>
      <c r="AS458" t="str">
        <f>"NONE"</f>
        <v>NONE</v>
      </c>
      <c r="AT458" t="s">
        <v>79</v>
      </c>
      <c r="AU458" t="str">
        <f>""</f>
        <v/>
      </c>
      <c r="AV458" t="str">
        <f>""</f>
        <v/>
      </c>
      <c r="AW458" t="s">
        <v>79</v>
      </c>
      <c r="AX458" t="str">
        <f>""</f>
        <v/>
      </c>
      <c r="AY458" t="s">
        <v>84</v>
      </c>
      <c r="BA458" t="s">
        <v>115</v>
      </c>
      <c r="BB458" t="s">
        <v>79</v>
      </c>
      <c r="BD458" t="s">
        <v>79</v>
      </c>
      <c r="BG458" t="s">
        <v>82</v>
      </c>
      <c r="BH458">
        <v>12</v>
      </c>
      <c r="BI458" t="s">
        <v>379</v>
      </c>
      <c r="BJ458" t="s">
        <v>380</v>
      </c>
      <c r="BK458" t="str">
        <f>"JAPON STREET MIDDLE ROAD GUALO RAI"</f>
        <v>JAPON STREET MIDDLE ROAD GUALO RAI</v>
      </c>
      <c r="BL458" t="str">
        <f>"P O BOX 502305"</f>
        <v>P O BOX 502305</v>
      </c>
      <c r="BM458" t="str">
        <f>"SAIPAN"</f>
        <v>SAIPAN</v>
      </c>
      <c r="BO458" t="s">
        <v>83</v>
      </c>
      <c r="BP458" s="4" t="str">
        <f>"96950"</f>
        <v>96950</v>
      </c>
      <c r="BQ458" t="s">
        <v>79</v>
      </c>
      <c r="BR458" t="str">
        <f>"37-2012.00"</f>
        <v>37-2012.00</v>
      </c>
      <c r="BS458" t="s">
        <v>109</v>
      </c>
      <c r="BT458" s="3">
        <v>7.56</v>
      </c>
      <c r="BU458" t="s">
        <v>80</v>
      </c>
      <c r="BV458" t="s">
        <v>90</v>
      </c>
      <c r="BW458" t="s">
        <v>92</v>
      </c>
      <c r="BZ458" s="1">
        <v>45107</v>
      </c>
    </row>
    <row r="459" spans="1:78" ht="15" customHeight="1" x14ac:dyDescent="0.25">
      <c r="A459" t="s">
        <v>381</v>
      </c>
      <c r="B459" t="s">
        <v>94</v>
      </c>
      <c r="C459" s="1">
        <v>44815</v>
      </c>
      <c r="D459" s="1">
        <v>44858</v>
      </c>
      <c r="H459" t="s">
        <v>78</v>
      </c>
      <c r="I459" t="str">
        <f>"Chong"</f>
        <v>Chong</v>
      </c>
      <c r="J459" t="str">
        <f>"Gemma"</f>
        <v>Gemma</v>
      </c>
      <c r="K459" t="str">
        <f>"F"</f>
        <v>F</v>
      </c>
      <c r="L459" t="str">
        <f>"Compliance/Acting Human Resources Officer"</f>
        <v>Compliance/Acting Human Resources Officer</v>
      </c>
      <c r="M459" t="str">
        <f>"San Jose Village"</f>
        <v>San Jose Village</v>
      </c>
      <c r="N459" t="str">
        <f>"P.O. BOX 520199"</f>
        <v>P.O. BOX 520199</v>
      </c>
      <c r="O459" t="str">
        <f>"Tinian"</f>
        <v>Tinian</v>
      </c>
      <c r="P459" t="str">
        <f t="shared" si="262"/>
        <v>MP</v>
      </c>
      <c r="Q459" s="4" t="str">
        <f>"96952"</f>
        <v>96952</v>
      </c>
      <c r="R459" t="str">
        <f t="shared" si="263"/>
        <v>UNITED STATES OF AMERICA</v>
      </c>
      <c r="S459" t="str">
        <f>""</f>
        <v/>
      </c>
      <c r="T459" s="5" t="str">
        <f>"16704331577"</f>
        <v>16704331577</v>
      </c>
      <c r="U459" t="str">
        <f>""</f>
        <v/>
      </c>
      <c r="V459" s="5" t="str">
        <f>""</f>
        <v/>
      </c>
      <c r="W459" t="str">
        <f>"applications@us-big.com"</f>
        <v>applications@us-big.com</v>
      </c>
      <c r="X459" t="str">
        <f>"Bridge Investment Group, LLC"</f>
        <v>Bridge Investment Group, LLC</v>
      </c>
      <c r="Y459" t="str">
        <f>"Tinian Diamond Hotel &amp; Casino"</f>
        <v>Tinian Diamond Hotel &amp; Casino</v>
      </c>
      <c r="Z459" t="str">
        <f>"SAN JOSE VILLAGE"</f>
        <v>SAN JOSE VILLAGE</v>
      </c>
      <c r="AA459" t="str">
        <f>"P.O. BOX 520199"</f>
        <v>P.O. BOX 520199</v>
      </c>
      <c r="AB459" t="str">
        <f>"TINIAN"</f>
        <v>TINIAN</v>
      </c>
      <c r="AC459" t="str">
        <f t="shared" si="259"/>
        <v>MP</v>
      </c>
      <c r="AD459" t="str">
        <f>"96952"</f>
        <v>96952</v>
      </c>
      <c r="AE459" t="str">
        <f t="shared" si="261"/>
        <v>UNITED STATES OF AMERICA</v>
      </c>
      <c r="AF459" t="str">
        <f>""</f>
        <v/>
      </c>
      <c r="AG459" s="4" t="str">
        <f>"16704331577"</f>
        <v>16704331577</v>
      </c>
      <c r="AH459" t="str">
        <f>""</f>
        <v/>
      </c>
      <c r="AI459" t="str">
        <f>"721120"</f>
        <v>721120</v>
      </c>
      <c r="AJ459" t="s">
        <v>79</v>
      </c>
      <c r="AK459" t="s">
        <v>79</v>
      </c>
      <c r="AL459" t="s">
        <v>80</v>
      </c>
      <c r="AM459" t="s">
        <v>79</v>
      </c>
      <c r="AP459" t="str">
        <f>"Housekeeping Attendant"</f>
        <v>Housekeeping Attendant</v>
      </c>
      <c r="AQ459" t="str">
        <f>"37-2012.00"</f>
        <v>37-2012.00</v>
      </c>
      <c r="AR459" t="str">
        <f>"Maids and Housekeeping Cleaners"</f>
        <v>Maids and Housekeeping Cleaners</v>
      </c>
      <c r="AS459" t="str">
        <f>"Housekeeping Supervisor"</f>
        <v>Housekeeping Supervisor</v>
      </c>
      <c r="AT459" t="s">
        <v>79</v>
      </c>
      <c r="AU459" t="str">
        <f>""</f>
        <v/>
      </c>
      <c r="AV459" t="str">
        <f>""</f>
        <v/>
      </c>
      <c r="AW459" t="s">
        <v>79</v>
      </c>
      <c r="AX459" t="str">
        <f>""</f>
        <v/>
      </c>
      <c r="AY459" t="s">
        <v>84</v>
      </c>
      <c r="BA459" t="s">
        <v>80</v>
      </c>
      <c r="BB459" t="s">
        <v>79</v>
      </c>
      <c r="BD459" t="s">
        <v>79</v>
      </c>
      <c r="BG459" t="s">
        <v>79</v>
      </c>
      <c r="BJ459" t="s">
        <v>382</v>
      </c>
      <c r="BK459" t="str">
        <f>"SAN JOSE VILLAGE, TINIAN"</f>
        <v>SAN JOSE VILLAGE, TINIAN</v>
      </c>
      <c r="BL459" t="str">
        <f>"P.O. BOX 520199, "</f>
        <v xml:space="preserve">P.O. BOX 520199, </v>
      </c>
      <c r="BM459" t="str">
        <f>"TINIAN"</f>
        <v>TINIAN</v>
      </c>
      <c r="BO459" t="s">
        <v>83</v>
      </c>
      <c r="BP459" s="4" t="str">
        <f>"96952"</f>
        <v>96952</v>
      </c>
      <c r="BQ459" t="s">
        <v>79</v>
      </c>
      <c r="BR459" t="str">
        <f>"37-2012.00"</f>
        <v>37-2012.00</v>
      </c>
      <c r="BS459" t="s">
        <v>109</v>
      </c>
      <c r="BT459" s="3">
        <v>7.56</v>
      </c>
      <c r="BU459" t="s">
        <v>80</v>
      </c>
      <c r="BV459" t="s">
        <v>90</v>
      </c>
      <c r="BW459" t="s">
        <v>92</v>
      </c>
      <c r="BZ459" s="1">
        <v>45107</v>
      </c>
    </row>
    <row r="460" spans="1:78" ht="15" customHeight="1" x14ac:dyDescent="0.25">
      <c r="A460" t="s">
        <v>366</v>
      </c>
      <c r="B460" t="s">
        <v>94</v>
      </c>
      <c r="C460" s="1">
        <v>44814</v>
      </c>
      <c r="D460" s="1">
        <v>44854</v>
      </c>
      <c r="H460" t="s">
        <v>78</v>
      </c>
      <c r="I460" t="str">
        <f>"ALVARADO "</f>
        <v xml:space="preserve">ALVARADO </v>
      </c>
      <c r="J460" t="str">
        <f>"ALFADEL"</f>
        <v>ALFADEL</v>
      </c>
      <c r="K460" t="str">
        <f>"ZULUETA "</f>
        <v xml:space="preserve">ZULUETA </v>
      </c>
      <c r="L460" t="str">
        <f>"VICE-PRESIDENT "</f>
        <v xml:space="preserve">VICE-PRESIDENT </v>
      </c>
      <c r="M460" t="str">
        <f>"P.O BOX 5054 CHRB"</f>
        <v>P.O BOX 5054 CHRB</v>
      </c>
      <c r="N460" t="str">
        <f>"MONSIGNOR GUERRERO ROAD CHALAN KIYA "</f>
        <v xml:space="preserve">MONSIGNOR GUERRERO ROAD CHALAN KIYA </v>
      </c>
      <c r="O460" t="str">
        <f>"SAIPAN "</f>
        <v xml:space="preserve">SAIPAN </v>
      </c>
      <c r="P460" t="str">
        <f t="shared" si="262"/>
        <v>MP</v>
      </c>
      <c r="Q460" s="4" t="str">
        <f t="shared" ref="Q460:Q483" si="264">"96950"</f>
        <v>96950</v>
      </c>
      <c r="R460" t="str">
        <f t="shared" si="263"/>
        <v>UNITED STATES OF AMERICA</v>
      </c>
      <c r="S460" t="str">
        <f>""</f>
        <v/>
      </c>
      <c r="T460" s="5" t="str">
        <f>"16702343870"</f>
        <v>16702343870</v>
      </c>
      <c r="U460" t="str">
        <f>""</f>
        <v/>
      </c>
      <c r="V460" s="5" t="str">
        <f>""</f>
        <v/>
      </c>
      <c r="W460" t="str">
        <f>"winzycorporation@gmail.com"</f>
        <v>winzycorporation@gmail.com</v>
      </c>
      <c r="X460" t="str">
        <f>"WINZY CORPORATION "</f>
        <v xml:space="preserve">WINZY CORPORATION </v>
      </c>
      <c r="Y460" t="str">
        <f>""</f>
        <v/>
      </c>
      <c r="Z460" t="str">
        <f>"P.O BOX 5054 CHRB "</f>
        <v xml:space="preserve">P.O BOX 5054 CHRB </v>
      </c>
      <c r="AA460" t="str">
        <f>"MONSIGNOR GUERRERO ROAD CHALAN KIYA "</f>
        <v xml:space="preserve">MONSIGNOR GUERRERO ROAD CHALAN KIYA </v>
      </c>
      <c r="AB460" t="str">
        <f>"SAIPAN "</f>
        <v xml:space="preserve">SAIPAN </v>
      </c>
      <c r="AC460" t="str">
        <f t="shared" si="259"/>
        <v>MP</v>
      </c>
      <c r="AD460" t="str">
        <f t="shared" ref="AD460:AD483" si="265">"96950"</f>
        <v>96950</v>
      </c>
      <c r="AE460" t="str">
        <f t="shared" si="261"/>
        <v>UNITED STATES OF AMERICA</v>
      </c>
      <c r="AF460" t="str">
        <f>""</f>
        <v/>
      </c>
      <c r="AG460" s="4" t="str">
        <f>"16702343870"</f>
        <v>16702343870</v>
      </c>
      <c r="AH460" t="str">
        <f>""</f>
        <v/>
      </c>
      <c r="AI460" t="str">
        <f>"56172"</f>
        <v>56172</v>
      </c>
      <c r="AJ460" t="s">
        <v>79</v>
      </c>
      <c r="AK460" t="s">
        <v>79</v>
      </c>
      <c r="AL460" t="s">
        <v>80</v>
      </c>
      <c r="AM460" t="s">
        <v>79</v>
      </c>
      <c r="AP460" t="str">
        <f>"ACCOUNTING ASSOCIATE"</f>
        <v>ACCOUNTING ASSOCIATE</v>
      </c>
      <c r="AQ460" t="str">
        <f>"43-3031.00"</f>
        <v>43-3031.00</v>
      </c>
      <c r="AR460" t="str">
        <f>"Bookkeeping, Accounting, and Auditing Clerks"</f>
        <v>Bookkeeping, Accounting, and Auditing Clerks</v>
      </c>
      <c r="AS460" t="str">
        <f>"ACCOUNTANT "</f>
        <v xml:space="preserve">ACCOUNTANT </v>
      </c>
      <c r="AT460" t="s">
        <v>79</v>
      </c>
      <c r="AU460" t="str">
        <f>""</f>
        <v/>
      </c>
      <c r="AV460" t="str">
        <f>""</f>
        <v/>
      </c>
      <c r="AW460" t="s">
        <v>79</v>
      </c>
      <c r="AX460" t="str">
        <f>""</f>
        <v/>
      </c>
      <c r="AY460" t="s">
        <v>124</v>
      </c>
      <c r="BA460" t="s">
        <v>367</v>
      </c>
      <c r="BB460" t="s">
        <v>79</v>
      </c>
      <c r="BD460" t="s">
        <v>79</v>
      </c>
      <c r="BG460" t="s">
        <v>82</v>
      </c>
      <c r="BH460">
        <v>24</v>
      </c>
      <c r="BI460" t="s">
        <v>368</v>
      </c>
      <c r="BJ460" s="2" t="s">
        <v>369</v>
      </c>
      <c r="BK460" t="str">
        <f>"P.O BOX 5054 CHRB "</f>
        <v xml:space="preserve">P.O BOX 5054 CHRB </v>
      </c>
      <c r="BL460" t="str">
        <f>"MONSIGNOR GUERRERO ROAD CHALAN KIYA "</f>
        <v xml:space="preserve">MONSIGNOR GUERRERO ROAD CHALAN KIYA </v>
      </c>
      <c r="BM460" t="str">
        <f>"SAIPAN "</f>
        <v xml:space="preserve">SAIPAN </v>
      </c>
      <c r="BO460" t="s">
        <v>83</v>
      </c>
      <c r="BP460" s="4" t="str">
        <f t="shared" ref="BP460:BP483" si="266">"96950"</f>
        <v>96950</v>
      </c>
      <c r="BQ460" t="s">
        <v>79</v>
      </c>
      <c r="BR460" t="str">
        <f>"43-3031.00"</f>
        <v>43-3031.00</v>
      </c>
      <c r="BS460" t="s">
        <v>142</v>
      </c>
      <c r="BT460" s="3">
        <v>11.21</v>
      </c>
      <c r="BU460" t="s">
        <v>80</v>
      </c>
      <c r="BV460" t="s">
        <v>90</v>
      </c>
      <c r="BW460" t="s">
        <v>92</v>
      </c>
      <c r="BZ460" s="1">
        <v>45107</v>
      </c>
    </row>
    <row r="461" spans="1:78" ht="15" customHeight="1" x14ac:dyDescent="0.25">
      <c r="A461" t="s">
        <v>370</v>
      </c>
      <c r="B461" t="s">
        <v>94</v>
      </c>
      <c r="C461" s="1">
        <v>44814</v>
      </c>
      <c r="D461" s="1">
        <v>44854</v>
      </c>
      <c r="H461" t="s">
        <v>78</v>
      </c>
      <c r="I461" t="str">
        <f>"ALVARADO "</f>
        <v xml:space="preserve">ALVARADO </v>
      </c>
      <c r="J461" t="str">
        <f>"ALFADEL "</f>
        <v xml:space="preserve">ALFADEL </v>
      </c>
      <c r="K461" t="str">
        <f>"ZULUETA "</f>
        <v xml:space="preserve">ZULUETA </v>
      </c>
      <c r="L461" t="str">
        <f>"VICE-PRESIDENT "</f>
        <v xml:space="preserve">VICE-PRESIDENT </v>
      </c>
      <c r="M461" t="str">
        <f>"P.O BOX 5054 CHRB "</f>
        <v xml:space="preserve">P.O BOX 5054 CHRB </v>
      </c>
      <c r="N461" t="str">
        <f>"MONSIGNOR GUERRERO ROAD CHALAN KIYA "</f>
        <v xml:space="preserve">MONSIGNOR GUERRERO ROAD CHALAN KIYA </v>
      </c>
      <c r="O461" t="str">
        <f>"SAIPAN "</f>
        <v xml:space="preserve">SAIPAN </v>
      </c>
      <c r="P461" t="str">
        <f t="shared" si="262"/>
        <v>MP</v>
      </c>
      <c r="Q461" s="4" t="str">
        <f t="shared" si="264"/>
        <v>96950</v>
      </c>
      <c r="R461" t="str">
        <f t="shared" si="263"/>
        <v>UNITED STATES OF AMERICA</v>
      </c>
      <c r="S461" t="str">
        <f>""</f>
        <v/>
      </c>
      <c r="T461" s="5" t="str">
        <f>"16702343870"</f>
        <v>16702343870</v>
      </c>
      <c r="U461" t="str">
        <f>""</f>
        <v/>
      </c>
      <c r="V461" s="5" t="str">
        <f>""</f>
        <v/>
      </c>
      <c r="W461" t="str">
        <f>"winzycorporation@gmail.com"</f>
        <v>winzycorporation@gmail.com</v>
      </c>
      <c r="X461" t="str">
        <f>"WINZY CORPORATION "</f>
        <v xml:space="preserve">WINZY CORPORATION </v>
      </c>
      <c r="Y461" t="str">
        <f>""</f>
        <v/>
      </c>
      <c r="Z461" t="str">
        <f>"P.O BOX 5054 CHRB "</f>
        <v xml:space="preserve">P.O BOX 5054 CHRB </v>
      </c>
      <c r="AA461" t="str">
        <f>"MONSIGNOR GUERRERO ROAD CHALAN KIYA "</f>
        <v xml:space="preserve">MONSIGNOR GUERRERO ROAD CHALAN KIYA </v>
      </c>
      <c r="AB461" t="str">
        <f>"SAIPAN "</f>
        <v xml:space="preserve">SAIPAN </v>
      </c>
      <c r="AC461" t="str">
        <f t="shared" si="259"/>
        <v>MP</v>
      </c>
      <c r="AD461" t="str">
        <f t="shared" si="265"/>
        <v>96950</v>
      </c>
      <c r="AE461" t="str">
        <f t="shared" si="261"/>
        <v>UNITED STATES OF AMERICA</v>
      </c>
      <c r="AF461" t="str">
        <f>""</f>
        <v/>
      </c>
      <c r="AG461" s="4" t="str">
        <f>"16702343870"</f>
        <v>16702343870</v>
      </c>
      <c r="AH461" t="str">
        <f>""</f>
        <v/>
      </c>
      <c r="AI461" t="str">
        <f>"56172"</f>
        <v>56172</v>
      </c>
      <c r="AJ461" t="s">
        <v>79</v>
      </c>
      <c r="AK461" t="s">
        <v>79</v>
      </c>
      <c r="AL461" t="s">
        <v>80</v>
      </c>
      <c r="AM461" t="s">
        <v>79</v>
      </c>
      <c r="AP461" t="str">
        <f>"EXECUTIVE ADMINISTRATIVE ASSISTANT  "</f>
        <v xml:space="preserve">EXECUTIVE ADMINISTRATIVE ASSISTANT  </v>
      </c>
      <c r="AQ461" t="str">
        <f>"43-6011.00"</f>
        <v>43-6011.00</v>
      </c>
      <c r="AR461" t="str">
        <f>"Executive Secretaries and Executive Administrative Assistants"</f>
        <v>Executive Secretaries and Executive Administrative Assistants</v>
      </c>
      <c r="AS461" t="str">
        <f>"GENERAL MANAGER "</f>
        <v xml:space="preserve">GENERAL MANAGER </v>
      </c>
      <c r="AT461" t="s">
        <v>82</v>
      </c>
      <c r="AU461" t="str">
        <f>"1"</f>
        <v>1</v>
      </c>
      <c r="AV461" t="str">
        <f>"Subordinate"</f>
        <v>Subordinate</v>
      </c>
      <c r="AW461" t="s">
        <v>79</v>
      </c>
      <c r="AX461" t="str">
        <f>""</f>
        <v/>
      </c>
      <c r="AY461" t="s">
        <v>124</v>
      </c>
      <c r="BA461" t="s">
        <v>371</v>
      </c>
      <c r="BB461" t="s">
        <v>79</v>
      </c>
      <c r="BD461" t="s">
        <v>79</v>
      </c>
      <c r="BG461" t="s">
        <v>82</v>
      </c>
      <c r="BH461">
        <v>24</v>
      </c>
      <c r="BI461" t="s">
        <v>372</v>
      </c>
      <c r="BJ461" t="s">
        <v>373</v>
      </c>
      <c r="BK461" t="str">
        <f>"P.O BOX 5054 CHRB "</f>
        <v xml:space="preserve">P.O BOX 5054 CHRB </v>
      </c>
      <c r="BL461" t="str">
        <f>"MONSIGNOR GUERRERO ROAD CHALAN KIYA "</f>
        <v xml:space="preserve">MONSIGNOR GUERRERO ROAD CHALAN KIYA </v>
      </c>
      <c r="BM461" t="str">
        <f>"SAIPAN "</f>
        <v xml:space="preserve">SAIPAN </v>
      </c>
      <c r="BO461" t="s">
        <v>83</v>
      </c>
      <c r="BP461" s="4" t="str">
        <f t="shared" si="266"/>
        <v>96950</v>
      </c>
      <c r="BQ461" t="s">
        <v>79</v>
      </c>
      <c r="BR461" t="str">
        <f>"43-6011.00"</f>
        <v>43-6011.00</v>
      </c>
      <c r="BS461" t="s">
        <v>374</v>
      </c>
      <c r="BT461" s="3">
        <v>14.3</v>
      </c>
      <c r="BU461" t="s">
        <v>80</v>
      </c>
      <c r="BV461" t="s">
        <v>90</v>
      </c>
      <c r="BW461" t="s">
        <v>92</v>
      </c>
      <c r="BZ461" s="1">
        <v>45107</v>
      </c>
    </row>
    <row r="462" spans="1:78" ht="15" customHeight="1" x14ac:dyDescent="0.25">
      <c r="A462" t="s">
        <v>375</v>
      </c>
      <c r="B462" t="s">
        <v>94</v>
      </c>
      <c r="C462" s="1">
        <v>44814</v>
      </c>
      <c r="D462" s="1">
        <v>44854</v>
      </c>
      <c r="H462" t="s">
        <v>78</v>
      </c>
      <c r="I462" t="str">
        <f>"ALVARADO "</f>
        <v xml:space="preserve">ALVARADO </v>
      </c>
      <c r="J462" t="str">
        <f>"ALFADEL "</f>
        <v xml:space="preserve">ALFADEL </v>
      </c>
      <c r="K462" t="str">
        <f>"ZULUETA "</f>
        <v xml:space="preserve">ZULUETA </v>
      </c>
      <c r="L462" t="str">
        <f>"VICE-PRESIDENT "</f>
        <v xml:space="preserve">VICE-PRESIDENT </v>
      </c>
      <c r="M462" t="str">
        <f>"P.O BOX 5054 CHRB "</f>
        <v xml:space="preserve">P.O BOX 5054 CHRB </v>
      </c>
      <c r="N462" t="str">
        <f>"MONSIGNOR GUERRERO ROAD CHALAN KIYA "</f>
        <v xml:space="preserve">MONSIGNOR GUERRERO ROAD CHALAN KIYA </v>
      </c>
      <c r="O462" t="str">
        <f>"SAIPAN "</f>
        <v xml:space="preserve">SAIPAN </v>
      </c>
      <c r="P462" t="str">
        <f t="shared" si="262"/>
        <v>MP</v>
      </c>
      <c r="Q462" s="4" t="str">
        <f t="shared" si="264"/>
        <v>96950</v>
      </c>
      <c r="R462" t="str">
        <f t="shared" si="263"/>
        <v>UNITED STATES OF AMERICA</v>
      </c>
      <c r="S462" t="str">
        <f>""</f>
        <v/>
      </c>
      <c r="T462" s="5" t="str">
        <f>"16702343870"</f>
        <v>16702343870</v>
      </c>
      <c r="U462" t="str">
        <f>""</f>
        <v/>
      </c>
      <c r="V462" s="5" t="str">
        <f>""</f>
        <v/>
      </c>
      <c r="W462" t="str">
        <f>"winzycorporation@gmail.com"</f>
        <v>winzycorporation@gmail.com</v>
      </c>
      <c r="X462" t="str">
        <f>"WINZY CORPORATION "</f>
        <v xml:space="preserve">WINZY CORPORATION </v>
      </c>
      <c r="Y462" t="str">
        <f>""</f>
        <v/>
      </c>
      <c r="Z462" t="str">
        <f>"P.O BOX 5054 CHRB "</f>
        <v xml:space="preserve">P.O BOX 5054 CHRB </v>
      </c>
      <c r="AA462" t="str">
        <f>"MONSIGNOR GUERRERO ROAD CHALAN KIYA "</f>
        <v xml:space="preserve">MONSIGNOR GUERRERO ROAD CHALAN KIYA </v>
      </c>
      <c r="AB462" t="str">
        <f>"SAIPAN "</f>
        <v xml:space="preserve">SAIPAN </v>
      </c>
      <c r="AC462" t="str">
        <f t="shared" si="259"/>
        <v>MP</v>
      </c>
      <c r="AD462" t="str">
        <f t="shared" si="265"/>
        <v>96950</v>
      </c>
      <c r="AE462" t="str">
        <f t="shared" si="261"/>
        <v>UNITED STATES OF AMERICA</v>
      </c>
      <c r="AF462" t="str">
        <f>""</f>
        <v/>
      </c>
      <c r="AG462" s="4" t="str">
        <f>"16702343870"</f>
        <v>16702343870</v>
      </c>
      <c r="AH462" t="str">
        <f>""</f>
        <v/>
      </c>
      <c r="AI462" t="str">
        <f>"56172"</f>
        <v>56172</v>
      </c>
      <c r="AJ462" t="s">
        <v>79</v>
      </c>
      <c r="AK462" t="s">
        <v>79</v>
      </c>
      <c r="AL462" t="s">
        <v>80</v>
      </c>
      <c r="AM462" t="s">
        <v>79</v>
      </c>
      <c r="AP462" t="str">
        <f>"ELECTRICIAN "</f>
        <v xml:space="preserve">ELECTRICIAN </v>
      </c>
      <c r="AQ462" t="str">
        <f>"47-2111.00"</f>
        <v>47-2111.00</v>
      </c>
      <c r="AR462" t="str">
        <f>"Electricians"</f>
        <v>Electricians</v>
      </c>
      <c r="AS462" t="str">
        <f>"GENERAL MANAGER "</f>
        <v xml:space="preserve">GENERAL MANAGER </v>
      </c>
      <c r="AT462" t="s">
        <v>79</v>
      </c>
      <c r="AU462" t="str">
        <f>""</f>
        <v/>
      </c>
      <c r="AV462" t="str">
        <f>""</f>
        <v/>
      </c>
      <c r="AW462" t="s">
        <v>79</v>
      </c>
      <c r="AX462" t="str">
        <f>""</f>
        <v/>
      </c>
      <c r="AY462" t="s">
        <v>84</v>
      </c>
      <c r="BA462" t="s">
        <v>80</v>
      </c>
      <c r="BB462" t="s">
        <v>79</v>
      </c>
      <c r="BD462" t="s">
        <v>79</v>
      </c>
      <c r="BG462" t="s">
        <v>82</v>
      </c>
      <c r="BH462">
        <v>12</v>
      </c>
      <c r="BI462" t="s">
        <v>179</v>
      </c>
      <c r="BJ462" s="2" t="s">
        <v>376</v>
      </c>
      <c r="BK462" t="str">
        <f>"P.O BOX 5054 CHRB "</f>
        <v xml:space="preserve">P.O BOX 5054 CHRB </v>
      </c>
      <c r="BL462" t="str">
        <f>"MONSIGNOR GUERRERO ROAD CHALAN KIYA "</f>
        <v xml:space="preserve">MONSIGNOR GUERRERO ROAD CHALAN KIYA </v>
      </c>
      <c r="BM462" t="str">
        <f>"SAIPAN "</f>
        <v xml:space="preserve">SAIPAN </v>
      </c>
      <c r="BO462" t="s">
        <v>83</v>
      </c>
      <c r="BP462" s="4" t="str">
        <f t="shared" si="266"/>
        <v>96950</v>
      </c>
      <c r="BQ462" t="s">
        <v>79</v>
      </c>
      <c r="BR462" t="str">
        <f>"47-2111.00"</f>
        <v>47-2111.00</v>
      </c>
      <c r="BS462" t="s">
        <v>181</v>
      </c>
      <c r="BT462" s="3">
        <v>11.67</v>
      </c>
      <c r="BU462" t="s">
        <v>80</v>
      </c>
      <c r="BV462" t="s">
        <v>90</v>
      </c>
      <c r="BW462" t="s">
        <v>92</v>
      </c>
      <c r="BZ462" s="1">
        <v>45107</v>
      </c>
    </row>
    <row r="463" spans="1:78" ht="15" customHeight="1" x14ac:dyDescent="0.25">
      <c r="A463" t="s">
        <v>360</v>
      </c>
      <c r="B463" t="s">
        <v>94</v>
      </c>
      <c r="C463" s="1">
        <v>44813</v>
      </c>
      <c r="D463" s="1">
        <v>44854</v>
      </c>
      <c r="H463" t="s">
        <v>78</v>
      </c>
      <c r="I463" t="str">
        <f>"CRUZ"</f>
        <v>CRUZ</v>
      </c>
      <c r="J463" t="str">
        <f>"MARIA THERESA"</f>
        <v>MARIA THERESA</v>
      </c>
      <c r="K463" t="str">
        <f>"VALENTINO"</f>
        <v>VALENTINO</v>
      </c>
      <c r="L463" t="str">
        <f>"GENERAL MANAGER"</f>
        <v>GENERAL MANAGER</v>
      </c>
      <c r="M463" t="str">
        <f>"104 MANGO CITY MIDDLE ROAD GARAPAN"</f>
        <v>104 MANGO CITY MIDDLE ROAD GARAPAN</v>
      </c>
      <c r="N463" t="str">
        <f>"P O BOX 502305"</f>
        <v>P O BOX 502305</v>
      </c>
      <c r="O463" t="str">
        <f>"SAIPAN"</f>
        <v>SAIPAN</v>
      </c>
      <c r="P463" t="str">
        <f t="shared" si="262"/>
        <v>MP</v>
      </c>
      <c r="Q463" s="4" t="str">
        <f t="shared" si="264"/>
        <v>96950</v>
      </c>
      <c r="R463" t="str">
        <f t="shared" si="263"/>
        <v>UNITED STATES OF AMERICA</v>
      </c>
      <c r="S463" t="str">
        <f>""</f>
        <v/>
      </c>
      <c r="T463" s="5" t="str">
        <f>"16702337461"</f>
        <v>16702337461</v>
      </c>
      <c r="U463" t="str">
        <f>""</f>
        <v/>
      </c>
      <c r="V463" s="5" t="str">
        <f>""</f>
        <v/>
      </c>
      <c r="W463" t="str">
        <f>"matheresacrz@yahoo.com"</f>
        <v>matheresacrz@yahoo.com</v>
      </c>
      <c r="X463" t="str">
        <f>"JJ &amp; K COMPANY"</f>
        <v>JJ &amp; K COMPANY</v>
      </c>
      <c r="Y463" t="str">
        <f>"HELP SUPPLY"</f>
        <v>HELP SUPPLY</v>
      </c>
      <c r="Z463" t="str">
        <f>"P.O. BOX 502305"</f>
        <v>P.O. BOX 502305</v>
      </c>
      <c r="AA463" t="str">
        <f>"104 MANGO CITY MIDDLE ROAD GARAPAN"</f>
        <v>104 MANGO CITY MIDDLE ROAD GARAPAN</v>
      </c>
      <c r="AB463" t="str">
        <f>"SAIPAN"</f>
        <v>SAIPAN</v>
      </c>
      <c r="AC463" t="str">
        <f t="shared" si="259"/>
        <v>MP</v>
      </c>
      <c r="AD463" t="str">
        <f t="shared" si="265"/>
        <v>96950</v>
      </c>
      <c r="AE463" t="str">
        <f t="shared" si="261"/>
        <v>UNITED STATES OF AMERICA</v>
      </c>
      <c r="AF463" t="str">
        <f>""</f>
        <v/>
      </c>
      <c r="AG463" s="4" t="str">
        <f>"16707837461"</f>
        <v>16707837461</v>
      </c>
      <c r="AH463" t="str">
        <f>""</f>
        <v/>
      </c>
      <c r="AI463" t="str">
        <f>"56132"</f>
        <v>56132</v>
      </c>
      <c r="AJ463" t="s">
        <v>79</v>
      </c>
      <c r="AK463" t="s">
        <v>79</v>
      </c>
      <c r="AL463" t="s">
        <v>80</v>
      </c>
      <c r="AM463" t="s">
        <v>79</v>
      </c>
      <c r="AP463" t="str">
        <f>"MAINTENANCE"</f>
        <v>MAINTENANCE</v>
      </c>
      <c r="AQ463" t="str">
        <f>"49-9071.00"</f>
        <v>49-9071.00</v>
      </c>
      <c r="AR463" t="str">
        <f>"Maintenance and Repair Workers, General"</f>
        <v>Maintenance and Repair Workers, General</v>
      </c>
      <c r="AS463" t="str">
        <f>"NONE"</f>
        <v>NONE</v>
      </c>
      <c r="AT463" t="s">
        <v>79</v>
      </c>
      <c r="AU463" t="str">
        <f>""</f>
        <v/>
      </c>
      <c r="AV463" t="str">
        <f>""</f>
        <v/>
      </c>
      <c r="AW463" t="s">
        <v>79</v>
      </c>
      <c r="AX463" t="str">
        <f>""</f>
        <v/>
      </c>
      <c r="AY463" t="s">
        <v>84</v>
      </c>
      <c r="BA463" t="s">
        <v>115</v>
      </c>
      <c r="BB463" t="s">
        <v>79</v>
      </c>
      <c r="BD463" t="s">
        <v>79</v>
      </c>
      <c r="BG463" t="s">
        <v>82</v>
      </c>
      <c r="BH463">
        <v>12</v>
      </c>
      <c r="BI463" t="s">
        <v>361</v>
      </c>
      <c r="BJ463" t="s">
        <v>362</v>
      </c>
      <c r="BK463" t="str">
        <f>"P O BOX 502305"</f>
        <v>P O BOX 502305</v>
      </c>
      <c r="BL463" t="str">
        <f>"104 MANGO CITY"</f>
        <v>104 MANGO CITY</v>
      </c>
      <c r="BM463" t="str">
        <f>"SAIPAN"</f>
        <v>SAIPAN</v>
      </c>
      <c r="BO463" t="s">
        <v>83</v>
      </c>
      <c r="BP463" s="4" t="str">
        <f t="shared" si="266"/>
        <v>96950</v>
      </c>
      <c r="BQ463" t="s">
        <v>79</v>
      </c>
      <c r="BR463" t="str">
        <f>"49-9071.00"</f>
        <v>49-9071.00</v>
      </c>
      <c r="BS463" t="s">
        <v>146</v>
      </c>
      <c r="BT463" s="3">
        <v>9.19</v>
      </c>
      <c r="BU463" t="s">
        <v>80</v>
      </c>
      <c r="BV463" t="s">
        <v>90</v>
      </c>
      <c r="BW463" t="s">
        <v>92</v>
      </c>
      <c r="BZ463" s="1">
        <v>45107</v>
      </c>
    </row>
    <row r="464" spans="1:78" ht="15" customHeight="1" x14ac:dyDescent="0.25">
      <c r="A464" t="s">
        <v>349</v>
      </c>
      <c r="B464" t="s">
        <v>94</v>
      </c>
      <c r="C464" s="1">
        <v>44812</v>
      </c>
      <c r="D464" s="1">
        <v>44854</v>
      </c>
      <c r="H464" t="s">
        <v>78</v>
      </c>
      <c r="I464" t="str">
        <f>"Kawabe- Tiu"</f>
        <v>Kawabe- Tiu</v>
      </c>
      <c r="J464" t="str">
        <f>"Kazuko"</f>
        <v>Kazuko</v>
      </c>
      <c r="K464" t="str">
        <f>""</f>
        <v/>
      </c>
      <c r="L464" t="str">
        <f>"Secretary"</f>
        <v>Secretary</v>
      </c>
      <c r="M464" t="str">
        <f>"G/F SCS BLDG. BEACH ROA D COR LLAT ST GARAPAN"</f>
        <v>G/F SCS BLDG. BEACH ROA D COR LLAT ST GARAPAN</v>
      </c>
      <c r="N464" t="str">
        <f>""</f>
        <v/>
      </c>
      <c r="O464" t="str">
        <f>"Saipan "</f>
        <v xml:space="preserve">Saipan </v>
      </c>
      <c r="P464" t="str">
        <f t="shared" si="262"/>
        <v>MP</v>
      </c>
      <c r="Q464" s="4" t="str">
        <f t="shared" si="264"/>
        <v>96950</v>
      </c>
      <c r="R464" t="str">
        <f t="shared" si="263"/>
        <v>UNITED STATES OF AMERICA</v>
      </c>
      <c r="S464" t="str">
        <f>""</f>
        <v/>
      </c>
      <c r="T464" s="5" t="str">
        <f>"16702349110"</f>
        <v>16702349110</v>
      </c>
      <c r="U464" t="str">
        <f>""</f>
        <v/>
      </c>
      <c r="V464" s="5" t="str">
        <f>""</f>
        <v/>
      </c>
      <c r="W464" t="str">
        <f>"scsinc.hr@gmail.com"</f>
        <v>scsinc.hr@gmail.com</v>
      </c>
      <c r="X464" t="str">
        <f>"Saipan Computer Services Inc"</f>
        <v>Saipan Computer Services Inc</v>
      </c>
      <c r="Y464" t="str">
        <f>""</f>
        <v/>
      </c>
      <c r="Z464" t="str">
        <f>"PO Box 502148"</f>
        <v>PO Box 502148</v>
      </c>
      <c r="AA464" t="str">
        <f>"G/F SCS Bldg. Beach Road Cor Llat St Garapan"</f>
        <v>G/F SCS Bldg. Beach Road Cor Llat St Garapan</v>
      </c>
      <c r="AB464" t="str">
        <f>"Saipan "</f>
        <v xml:space="preserve">Saipan </v>
      </c>
      <c r="AC464" t="str">
        <f t="shared" si="259"/>
        <v>MP</v>
      </c>
      <c r="AD464" t="str">
        <f t="shared" si="265"/>
        <v>96950</v>
      </c>
      <c r="AE464" t="str">
        <f t="shared" si="261"/>
        <v>UNITED STATES OF AMERICA</v>
      </c>
      <c r="AF464" t="str">
        <f>""</f>
        <v/>
      </c>
      <c r="AG464" s="4" t="str">
        <f>"16702349100"</f>
        <v>16702349100</v>
      </c>
      <c r="AH464" t="str">
        <f>""</f>
        <v/>
      </c>
      <c r="AI464" t="str">
        <f>"44314"</f>
        <v>44314</v>
      </c>
      <c r="AJ464" t="s">
        <v>79</v>
      </c>
      <c r="AK464" t="s">
        <v>79</v>
      </c>
      <c r="AL464" t="s">
        <v>80</v>
      </c>
      <c r="AM464" t="s">
        <v>79</v>
      </c>
      <c r="AP464" t="str">
        <f>"MAINTENANCE AND REPAIR WORKER"</f>
        <v>MAINTENANCE AND REPAIR WORKER</v>
      </c>
      <c r="AQ464" t="str">
        <f>""</f>
        <v/>
      </c>
      <c r="AR464" t="str">
        <f>""</f>
        <v/>
      </c>
      <c r="AS464" t="str">
        <f>"General Manager"</f>
        <v>General Manager</v>
      </c>
      <c r="AT464" t="s">
        <v>79</v>
      </c>
      <c r="AU464" t="str">
        <f>""</f>
        <v/>
      </c>
      <c r="AV464" t="str">
        <f>""</f>
        <v/>
      </c>
      <c r="AW464" t="s">
        <v>79</v>
      </c>
      <c r="AX464" t="str">
        <f>""</f>
        <v/>
      </c>
      <c r="AY464" t="s">
        <v>81</v>
      </c>
      <c r="BA464" t="s">
        <v>81</v>
      </c>
      <c r="BB464" t="s">
        <v>79</v>
      </c>
      <c r="BD464" t="s">
        <v>79</v>
      </c>
      <c r="BG464" t="s">
        <v>82</v>
      </c>
      <c r="BH464">
        <v>24</v>
      </c>
      <c r="BI464" t="s">
        <v>350</v>
      </c>
      <c r="BJ464" s="2" t="s">
        <v>351</v>
      </c>
      <c r="BK464" t="str">
        <f>"G/F SCS BLDG. BEACH ROAD COR LLAT ST GARAPAN"</f>
        <v>G/F SCS BLDG. BEACH ROAD COR LLAT ST GARAPAN</v>
      </c>
      <c r="BL464" t="str">
        <f>""</f>
        <v/>
      </c>
      <c r="BM464" t="str">
        <f>"Saipan "</f>
        <v xml:space="preserve">Saipan </v>
      </c>
      <c r="BO464" t="s">
        <v>83</v>
      </c>
      <c r="BP464" s="4" t="str">
        <f t="shared" si="266"/>
        <v>96950</v>
      </c>
      <c r="BQ464" t="s">
        <v>79</v>
      </c>
      <c r="BR464" t="str">
        <f>"49-9071.00"</f>
        <v>49-9071.00</v>
      </c>
      <c r="BS464" t="s">
        <v>146</v>
      </c>
      <c r="BT464" s="3">
        <v>9.19</v>
      </c>
      <c r="BU464" t="s">
        <v>80</v>
      </c>
      <c r="BV464" t="s">
        <v>90</v>
      </c>
      <c r="BW464" t="s">
        <v>92</v>
      </c>
      <c r="BZ464" s="1">
        <v>45107</v>
      </c>
    </row>
    <row r="465" spans="1:78" ht="15" customHeight="1" x14ac:dyDescent="0.25">
      <c r="A465" t="s">
        <v>352</v>
      </c>
      <c r="B465" t="s">
        <v>94</v>
      </c>
      <c r="C465" s="1">
        <v>44812</v>
      </c>
      <c r="D465" s="1">
        <v>44854</v>
      </c>
      <c r="H465" t="s">
        <v>78</v>
      </c>
      <c r="I465" t="str">
        <f>"TAN"</f>
        <v>TAN</v>
      </c>
      <c r="J465" t="str">
        <f>"JERRY"</f>
        <v>JERRY</v>
      </c>
      <c r="K465" t="str">
        <f>""</f>
        <v/>
      </c>
      <c r="L465" t="str">
        <f>"PRESIDENT"</f>
        <v>PRESIDENT</v>
      </c>
      <c r="M465" t="str">
        <f>"PMB 338, BOX 10001"</f>
        <v>PMB 338, BOX 10001</v>
      </c>
      <c r="N465" t="str">
        <f>"KOBLERVILLE, SAIPAN"</f>
        <v>KOBLERVILLE, SAIPAN</v>
      </c>
      <c r="O465" t="str">
        <f>"MP"</f>
        <v>MP</v>
      </c>
      <c r="P465" t="str">
        <f t="shared" si="262"/>
        <v>MP</v>
      </c>
      <c r="Q465" s="4" t="str">
        <f t="shared" si="264"/>
        <v>96950</v>
      </c>
      <c r="R465" t="str">
        <f t="shared" si="263"/>
        <v>UNITED STATES OF AMERICA</v>
      </c>
      <c r="S465" t="str">
        <f>""</f>
        <v/>
      </c>
      <c r="T465" s="5" t="str">
        <f>"16702350173"</f>
        <v>16702350173</v>
      </c>
      <c r="U465" t="str">
        <f>""</f>
        <v/>
      </c>
      <c r="V465" s="5" t="str">
        <f>""</f>
        <v/>
      </c>
      <c r="W465" t="str">
        <f>"playsoccer@nmifa.com"</f>
        <v>playsoccer@nmifa.com</v>
      </c>
      <c r="X465" t="str">
        <f>"NORTHERN MARIANA ISLANDS FOOTBALL ASSOCIATION"</f>
        <v>NORTHERN MARIANA ISLANDS FOOTBALL ASSOCIATION</v>
      </c>
      <c r="Y465" t="str">
        <f>""</f>
        <v/>
      </c>
      <c r="Z465" t="str">
        <f>"4627 AS GONNO ROAD"</f>
        <v>4627 AS GONNO ROAD</v>
      </c>
      <c r="AA465" t="str">
        <f>"PMB 338, BOX 10001"</f>
        <v>PMB 338, BOX 10001</v>
      </c>
      <c r="AB465" t="str">
        <f>"KOBLERVILLE, SAIPAN"</f>
        <v>KOBLERVILLE, SAIPAN</v>
      </c>
      <c r="AC465" t="str">
        <f t="shared" si="259"/>
        <v>MP</v>
      </c>
      <c r="AD465" t="str">
        <f t="shared" si="265"/>
        <v>96950</v>
      </c>
      <c r="AE465" t="str">
        <f t="shared" si="261"/>
        <v>UNITED STATES OF AMERICA</v>
      </c>
      <c r="AF465" t="str">
        <f>""</f>
        <v/>
      </c>
      <c r="AG465" s="4" t="str">
        <f>"16702350173"</f>
        <v>16702350173</v>
      </c>
      <c r="AH465" t="str">
        <f>""</f>
        <v/>
      </c>
      <c r="AI465" t="str">
        <f>"711211"</f>
        <v>711211</v>
      </c>
      <c r="AJ465" t="s">
        <v>79</v>
      </c>
      <c r="AK465" t="s">
        <v>79</v>
      </c>
      <c r="AL465" t="s">
        <v>80</v>
      </c>
      <c r="AM465" t="s">
        <v>79</v>
      </c>
      <c r="AP465" t="str">
        <f>"RECREATIONAL THERAPIST"</f>
        <v>RECREATIONAL THERAPIST</v>
      </c>
      <c r="AQ465" t="str">
        <f>"29-1125.00"</f>
        <v>29-1125.00</v>
      </c>
      <c r="AR465" t="str">
        <f>"Recreational Therapists"</f>
        <v>Recreational Therapists</v>
      </c>
      <c r="AS465" t="str">
        <f>"GENERAL SECRETARY/EXECUTIVE DIRECTOR"</f>
        <v>GENERAL SECRETARY/EXECUTIVE DIRECTOR</v>
      </c>
      <c r="AT465" t="s">
        <v>79</v>
      </c>
      <c r="AU465" t="str">
        <f>""</f>
        <v/>
      </c>
      <c r="AV465" t="str">
        <f>""</f>
        <v/>
      </c>
      <c r="AW465" t="s">
        <v>82</v>
      </c>
      <c r="AX465" t="s">
        <v>353</v>
      </c>
      <c r="AY465" t="s">
        <v>95</v>
      </c>
      <c r="BA465" t="s">
        <v>354</v>
      </c>
      <c r="BB465" t="s">
        <v>79</v>
      </c>
      <c r="BD465" t="s">
        <v>79</v>
      </c>
      <c r="BG465" t="s">
        <v>82</v>
      </c>
      <c r="BH465">
        <v>24</v>
      </c>
      <c r="BI465" t="s">
        <v>355</v>
      </c>
      <c r="BJ465" t="s">
        <v>356</v>
      </c>
      <c r="BK465" t="str">
        <f>"NMI SOCCER TRAINING CENTER, 4627 AS GONNO ROAD, KOBLERVILLE"</f>
        <v>NMI SOCCER TRAINING CENTER, 4627 AS GONNO ROAD, KOBLERVILLE</v>
      </c>
      <c r="BL465" t="str">
        <f>"PMB 338, BOX 10001"</f>
        <v>PMB 338, BOX 10001</v>
      </c>
      <c r="BM465" t="str">
        <f>"SAIPAN"</f>
        <v>SAIPAN</v>
      </c>
      <c r="BO465" t="s">
        <v>83</v>
      </c>
      <c r="BP465" s="4" t="str">
        <f t="shared" si="266"/>
        <v>96950</v>
      </c>
      <c r="BQ465" t="s">
        <v>79</v>
      </c>
      <c r="BR465" t="str">
        <f>"29-1125.00"</f>
        <v>29-1125.00</v>
      </c>
      <c r="BS465" t="s">
        <v>357</v>
      </c>
      <c r="BT465" s="3">
        <v>17.62</v>
      </c>
      <c r="BU465" t="s">
        <v>80</v>
      </c>
      <c r="BV465" t="s">
        <v>90</v>
      </c>
      <c r="BW465" t="s">
        <v>265</v>
      </c>
      <c r="BZ465" s="1">
        <v>45107</v>
      </c>
    </row>
    <row r="466" spans="1:78" ht="15" customHeight="1" x14ac:dyDescent="0.25">
      <c r="A466" t="s">
        <v>358</v>
      </c>
      <c r="B466" t="s">
        <v>94</v>
      </c>
      <c r="C466" s="1">
        <v>44812</v>
      </c>
      <c r="D466" s="1">
        <v>44854</v>
      </c>
      <c r="H466" t="s">
        <v>78</v>
      </c>
      <c r="I466" t="str">
        <f>"SIN"</f>
        <v>SIN</v>
      </c>
      <c r="J466" t="str">
        <f>"BYUNG"</f>
        <v>BYUNG</v>
      </c>
      <c r="K466" t="str">
        <f>"ILL"</f>
        <v>ILL</v>
      </c>
      <c r="L466" t="str">
        <f>"DIRECTOR"</f>
        <v>DIRECTOR</v>
      </c>
      <c r="M466" t="str">
        <f>"PO Box 500809"</f>
        <v>PO Box 500809</v>
      </c>
      <c r="N466" t="str">
        <f>""</f>
        <v/>
      </c>
      <c r="O466" t="str">
        <f>"Saipan"</f>
        <v>Saipan</v>
      </c>
      <c r="P466" t="str">
        <f t="shared" si="262"/>
        <v>MP</v>
      </c>
      <c r="Q466" s="4" t="str">
        <f t="shared" si="264"/>
        <v>96950</v>
      </c>
      <c r="R466" t="str">
        <f t="shared" si="263"/>
        <v>UNITED STATES OF AMERICA</v>
      </c>
      <c r="S466" t="str">
        <f>""</f>
        <v/>
      </c>
      <c r="T466" s="5" t="str">
        <f>"16702877733"</f>
        <v>16702877733</v>
      </c>
      <c r="U466" t="str">
        <f>""</f>
        <v/>
      </c>
      <c r="V466" s="5" t="str">
        <f>""</f>
        <v/>
      </c>
      <c r="W466" t="str">
        <f>"byungsin5000@gmail.com"</f>
        <v>byungsin5000@gmail.com</v>
      </c>
      <c r="X466" t="str">
        <f>"JIN YONG AMERICANA INC"</f>
        <v>JIN YONG AMERICANA INC</v>
      </c>
      <c r="Y466" t="str">
        <f>""</f>
        <v/>
      </c>
      <c r="Z466" t="str">
        <f>"P.O. BOX 500809"</f>
        <v>P.O. BOX 500809</v>
      </c>
      <c r="AA466" t="str">
        <f>""</f>
        <v/>
      </c>
      <c r="AB466" t="str">
        <f>"SAIPAN"</f>
        <v>SAIPAN</v>
      </c>
      <c r="AC466" t="str">
        <f t="shared" si="259"/>
        <v>MP</v>
      </c>
      <c r="AD466" t="str">
        <f t="shared" si="265"/>
        <v>96950</v>
      </c>
      <c r="AE466" t="str">
        <f t="shared" si="261"/>
        <v>UNITED STATES OF AMERICA</v>
      </c>
      <c r="AF466" t="str">
        <f>""</f>
        <v/>
      </c>
      <c r="AG466" s="4" t="str">
        <f>"16702877733"</f>
        <v>16702877733</v>
      </c>
      <c r="AH466" t="str">
        <f>""</f>
        <v/>
      </c>
      <c r="AI466" t="str">
        <f>"42499"</f>
        <v>42499</v>
      </c>
      <c r="AJ466" t="s">
        <v>79</v>
      </c>
      <c r="AK466" t="s">
        <v>79</v>
      </c>
      <c r="AL466" t="s">
        <v>80</v>
      </c>
      <c r="AM466" t="s">
        <v>79</v>
      </c>
      <c r="AP466" t="str">
        <f>"Office Clerks, General "</f>
        <v xml:space="preserve">Office Clerks, General </v>
      </c>
      <c r="AQ466" t="str">
        <f>"43-9061.00"</f>
        <v>43-9061.00</v>
      </c>
      <c r="AR466" t="str">
        <f>"Office Clerks, General"</f>
        <v>Office Clerks, General</v>
      </c>
      <c r="AS466" t="str">
        <f>"DIRECTOR"</f>
        <v>DIRECTOR</v>
      </c>
      <c r="AT466" t="s">
        <v>79</v>
      </c>
      <c r="AU466" t="str">
        <f>""</f>
        <v/>
      </c>
      <c r="AV466" t="str">
        <f>""</f>
        <v/>
      </c>
      <c r="AW466" t="s">
        <v>79</v>
      </c>
      <c r="AX466" t="str">
        <f>""</f>
        <v/>
      </c>
      <c r="AY466" t="s">
        <v>84</v>
      </c>
      <c r="BA466" t="s">
        <v>115</v>
      </c>
      <c r="BB466" t="s">
        <v>79</v>
      </c>
      <c r="BD466" t="s">
        <v>79</v>
      </c>
      <c r="BG466" t="s">
        <v>79</v>
      </c>
      <c r="BJ466" t="s">
        <v>115</v>
      </c>
      <c r="BK466" t="str">
        <f>"CHIEF AGURUB STREET CHALAN KANOA"</f>
        <v>CHIEF AGURUB STREET CHALAN KANOA</v>
      </c>
      <c r="BL466" t="str">
        <f>""</f>
        <v/>
      </c>
      <c r="BM466" t="str">
        <f>"SAIPAN"</f>
        <v>SAIPAN</v>
      </c>
      <c r="BO466" t="s">
        <v>83</v>
      </c>
      <c r="BP466" s="4" t="str">
        <f t="shared" si="266"/>
        <v>96950</v>
      </c>
      <c r="BQ466" t="s">
        <v>79</v>
      </c>
      <c r="BR466" t="str">
        <f>"43-9061.00"</f>
        <v>43-9061.00</v>
      </c>
      <c r="BS466" t="s">
        <v>359</v>
      </c>
      <c r="BT466" s="3">
        <v>14.41</v>
      </c>
      <c r="BU466" t="s">
        <v>80</v>
      </c>
      <c r="BV466" t="s">
        <v>90</v>
      </c>
      <c r="BW466" t="s">
        <v>92</v>
      </c>
      <c r="BZ466" s="1">
        <v>45107</v>
      </c>
    </row>
    <row r="467" spans="1:78" ht="15" customHeight="1" x14ac:dyDescent="0.25">
      <c r="A467" t="s">
        <v>343</v>
      </c>
      <c r="B467" t="s">
        <v>94</v>
      </c>
      <c r="C467" s="1">
        <v>44809</v>
      </c>
      <c r="D467" s="1">
        <v>44854</v>
      </c>
      <c r="H467" t="s">
        <v>78</v>
      </c>
      <c r="I467" t="str">
        <f>"Gerrard"</f>
        <v>Gerrard</v>
      </c>
      <c r="J467" t="str">
        <f>"Sachiko"</f>
        <v>Sachiko</v>
      </c>
      <c r="K467" t="str">
        <f>"N."</f>
        <v>N.</v>
      </c>
      <c r="L467" t="str">
        <f>"Acting General Manager"</f>
        <v>Acting General Manager</v>
      </c>
      <c r="M467" t="str">
        <f>"9543 Chalan Pale Arnold, San Roque"</f>
        <v>9543 Chalan Pale Arnold, San Roque</v>
      </c>
      <c r="N467" t="str">
        <f>""</f>
        <v/>
      </c>
      <c r="O467" t="str">
        <f>"Saipan"</f>
        <v>Saipan</v>
      </c>
      <c r="P467" t="str">
        <f t="shared" si="262"/>
        <v>MP</v>
      </c>
      <c r="Q467" s="4" t="str">
        <f t="shared" si="264"/>
        <v>96950</v>
      </c>
      <c r="R467" t="str">
        <f t="shared" si="263"/>
        <v>UNITED STATES OF AMERICA</v>
      </c>
      <c r="S467" t="str">
        <f>""</f>
        <v/>
      </c>
      <c r="T467" s="5" t="str">
        <f>"16703221234"</f>
        <v>16703221234</v>
      </c>
      <c r="U467" t="str">
        <f>"780"</f>
        <v>780</v>
      </c>
      <c r="V467" s="5" t="str">
        <f>""</f>
        <v/>
      </c>
      <c r="W467" t="str">
        <f>"hradmin@aquaresortsaipan.com"</f>
        <v>hradmin@aquaresortsaipan.com</v>
      </c>
      <c r="X467" t="str">
        <f>"Ken Aqua Hotel &amp; Resort, Inc."</f>
        <v>Ken Aqua Hotel &amp; Resort, Inc.</v>
      </c>
      <c r="Y467" t="str">
        <f>"Aqua Resort Club, Saipan"</f>
        <v>Aqua Resort Club, Saipan</v>
      </c>
      <c r="Z467" t="str">
        <f>"9543 Chalan Pales Arnold, San Roque"</f>
        <v>9543 Chalan Pales Arnold, San Roque</v>
      </c>
      <c r="AA467" t="str">
        <f>""</f>
        <v/>
      </c>
      <c r="AB467" t="str">
        <f>"Saipan"</f>
        <v>Saipan</v>
      </c>
      <c r="AC467" t="str">
        <f t="shared" si="259"/>
        <v>MP</v>
      </c>
      <c r="AD467" t="str">
        <f t="shared" si="265"/>
        <v>96950</v>
      </c>
      <c r="AE467" t="str">
        <f t="shared" si="261"/>
        <v>UNITED STATES OF AMERICA</v>
      </c>
      <c r="AF467" t="str">
        <f>""</f>
        <v/>
      </c>
      <c r="AG467" s="4" t="str">
        <f>"16703221234"</f>
        <v>16703221234</v>
      </c>
      <c r="AH467" t="str">
        <f>""</f>
        <v/>
      </c>
      <c r="AI467" t="str">
        <f>"721110"</f>
        <v>721110</v>
      </c>
      <c r="AJ467" t="s">
        <v>79</v>
      </c>
      <c r="AK467" t="s">
        <v>79</v>
      </c>
      <c r="AL467" t="s">
        <v>80</v>
      </c>
      <c r="AM467" t="s">
        <v>79</v>
      </c>
      <c r="AP467" t="str">
        <f>"Maintenance Worker"</f>
        <v>Maintenance Worker</v>
      </c>
      <c r="AQ467" t="str">
        <f>"49-9071.00"</f>
        <v>49-9071.00</v>
      </c>
      <c r="AR467" t="str">
        <f>"Maintenance and Repair Workers, General"</f>
        <v>Maintenance and Repair Workers, General</v>
      </c>
      <c r="AS467" t="str">
        <f>"Asst. Chief Engineer"</f>
        <v>Asst. Chief Engineer</v>
      </c>
      <c r="AT467" t="s">
        <v>79</v>
      </c>
      <c r="AU467" t="str">
        <f>""</f>
        <v/>
      </c>
      <c r="AV467" t="str">
        <f>""</f>
        <v/>
      </c>
      <c r="AW467" t="s">
        <v>79</v>
      </c>
      <c r="AX467" t="str">
        <f>""</f>
        <v/>
      </c>
      <c r="AY467" t="s">
        <v>84</v>
      </c>
      <c r="BA467" t="s">
        <v>80</v>
      </c>
      <c r="BB467" t="s">
        <v>79</v>
      </c>
      <c r="BD467" t="s">
        <v>79</v>
      </c>
      <c r="BG467" t="s">
        <v>82</v>
      </c>
      <c r="BH467">
        <v>24</v>
      </c>
      <c r="BI467" t="s">
        <v>344</v>
      </c>
      <c r="BJ467" t="s">
        <v>80</v>
      </c>
      <c r="BK467" t="str">
        <f>"9543 Chalan Pale Arnold, San Roque"</f>
        <v>9543 Chalan Pale Arnold, San Roque</v>
      </c>
      <c r="BL467" t="str">
        <f>""</f>
        <v/>
      </c>
      <c r="BM467" t="str">
        <f>"Saipan"</f>
        <v>Saipan</v>
      </c>
      <c r="BO467" t="s">
        <v>83</v>
      </c>
      <c r="BP467" s="4" t="str">
        <f t="shared" si="266"/>
        <v>96950</v>
      </c>
      <c r="BQ467" t="s">
        <v>79</v>
      </c>
      <c r="BR467" t="str">
        <f>"49-9071.00"</f>
        <v>49-9071.00</v>
      </c>
      <c r="BS467" t="s">
        <v>146</v>
      </c>
      <c r="BT467" s="3">
        <v>9.19</v>
      </c>
      <c r="BU467" t="s">
        <v>80</v>
      </c>
      <c r="BV467" t="s">
        <v>90</v>
      </c>
      <c r="BW467" t="s">
        <v>92</v>
      </c>
      <c r="BZ467" s="1">
        <v>45107</v>
      </c>
    </row>
    <row r="468" spans="1:78" ht="15" customHeight="1" x14ac:dyDescent="0.25">
      <c r="A468" t="s">
        <v>345</v>
      </c>
      <c r="B468" t="s">
        <v>94</v>
      </c>
      <c r="C468" s="1">
        <v>44809</v>
      </c>
      <c r="D468" s="1">
        <v>44854</v>
      </c>
      <c r="H468" t="s">
        <v>78</v>
      </c>
      <c r="I468" t="str">
        <f>"MAILMAN"</f>
        <v>MAILMAN</v>
      </c>
      <c r="J468" t="str">
        <f>"BRUCE"</f>
        <v>BRUCE</v>
      </c>
      <c r="K468" t="str">
        <f>"LEE"</f>
        <v>LEE</v>
      </c>
      <c r="L468" t="str">
        <f>"ATTORNEY"</f>
        <v>ATTORNEY</v>
      </c>
      <c r="M468" t="str">
        <f>"2ND FLOOR SASHA BLDG. CHALAN LAULAU"</f>
        <v>2ND FLOOR SASHA BLDG. CHALAN LAULAU</v>
      </c>
      <c r="N468" t="str">
        <f>"PMB 238 BOX 10000"</f>
        <v>PMB 238 BOX 10000</v>
      </c>
      <c r="O468" t="str">
        <f>"SAIPAN"</f>
        <v>SAIPAN</v>
      </c>
      <c r="P468" t="str">
        <f t="shared" si="262"/>
        <v>MP</v>
      </c>
      <c r="Q468" s="4" t="str">
        <f t="shared" si="264"/>
        <v>96950</v>
      </c>
      <c r="R468" t="str">
        <f t="shared" si="263"/>
        <v>UNITED STATES OF AMERICA</v>
      </c>
      <c r="S468" t="str">
        <f>""</f>
        <v/>
      </c>
      <c r="T468" s="5" t="str">
        <f>"16702330081"</f>
        <v>16702330081</v>
      </c>
      <c r="U468" t="str">
        <f>""</f>
        <v/>
      </c>
      <c r="V468" s="5" t="str">
        <f>""</f>
        <v/>
      </c>
      <c r="W468" t="str">
        <f>"bmailman@lexmarianas.com"</f>
        <v>bmailman@lexmarianas.com</v>
      </c>
      <c r="X468" t="str">
        <f>"APINAN'S ROYAL THAI EMPORIUM, LLC"</f>
        <v>APINAN'S ROYAL THAI EMPORIUM, LLC</v>
      </c>
      <c r="Y468" t="str">
        <f>""</f>
        <v/>
      </c>
      <c r="Z468" t="str">
        <f>"CHALAN MONSIGNOR GUERRERO ROAD"</f>
        <v>CHALAN MONSIGNOR GUERRERO ROAD</v>
      </c>
      <c r="AA468" t="str">
        <f>"PO BOX 7435 SVRB"</f>
        <v>PO BOX 7435 SVRB</v>
      </c>
      <c r="AB468" t="str">
        <f>"SAIPAN"</f>
        <v>SAIPAN</v>
      </c>
      <c r="AC468" t="str">
        <f t="shared" si="259"/>
        <v>MP</v>
      </c>
      <c r="AD468" t="str">
        <f t="shared" si="265"/>
        <v>96950</v>
      </c>
      <c r="AE468" t="str">
        <f t="shared" si="261"/>
        <v>UNITED STATES OF AMERICA</v>
      </c>
      <c r="AF468" t="str">
        <f>""</f>
        <v/>
      </c>
      <c r="AG468" s="4" t="str">
        <f>"16702344530"</f>
        <v>16702344530</v>
      </c>
      <c r="AH468" t="str">
        <f>""</f>
        <v/>
      </c>
      <c r="AI468" t="str">
        <f>"812199"</f>
        <v>812199</v>
      </c>
      <c r="AJ468" t="s">
        <v>79</v>
      </c>
      <c r="AK468" t="s">
        <v>79</v>
      </c>
      <c r="AL468" t="s">
        <v>80</v>
      </c>
      <c r="AM468" t="s">
        <v>79</v>
      </c>
      <c r="AP468" t="str">
        <f>"MASSAGE THERAPIST "</f>
        <v xml:space="preserve">MASSAGE THERAPIST </v>
      </c>
      <c r="AQ468" t="str">
        <f>"31-9011.00"</f>
        <v>31-9011.00</v>
      </c>
      <c r="AR468" t="str">
        <f>"Massage Therapists"</f>
        <v>Massage Therapists</v>
      </c>
      <c r="AS468" t="str">
        <f>"MASSAGE THERAPISTS"</f>
        <v>MASSAGE THERAPISTS</v>
      </c>
      <c r="AT468" t="s">
        <v>79</v>
      </c>
      <c r="AU468" t="str">
        <f>""</f>
        <v/>
      </c>
      <c r="AV468" t="str">
        <f>""</f>
        <v/>
      </c>
      <c r="AW468" t="s">
        <v>79</v>
      </c>
      <c r="AX468" t="str">
        <f>""</f>
        <v/>
      </c>
      <c r="AY468" t="s">
        <v>84</v>
      </c>
      <c r="BA468" t="s">
        <v>80</v>
      </c>
      <c r="BB468" t="s">
        <v>79</v>
      </c>
      <c r="BD468" t="s">
        <v>79</v>
      </c>
      <c r="BG468" t="s">
        <v>82</v>
      </c>
      <c r="BH468">
        <v>24</v>
      </c>
      <c r="BI468" t="s">
        <v>346</v>
      </c>
      <c r="BJ468" t="s">
        <v>347</v>
      </c>
      <c r="BK468" t="str">
        <f>"FRIENDLY PLAZA, APT. 205, CHALAN MONSIGNOR GUERRERO RD., "</f>
        <v xml:space="preserve">FRIENDLY PLAZA, APT. 205, CHALAN MONSIGNOR GUERRERO RD., </v>
      </c>
      <c r="BL468" t="str">
        <f>"PO BOX 7435 SVRB "</f>
        <v xml:space="preserve">PO BOX 7435 SVRB </v>
      </c>
      <c r="BM468" t="str">
        <f>"SAIPAN"</f>
        <v>SAIPAN</v>
      </c>
      <c r="BO468" t="s">
        <v>83</v>
      </c>
      <c r="BP468" s="4" t="str">
        <f t="shared" si="266"/>
        <v>96950</v>
      </c>
      <c r="BQ468" t="s">
        <v>79</v>
      </c>
      <c r="BR468" t="str">
        <f>"31-9011.00"</f>
        <v>31-9011.00</v>
      </c>
      <c r="BS468" t="s">
        <v>348</v>
      </c>
      <c r="BT468" s="3">
        <v>11.46</v>
      </c>
      <c r="BU468" t="s">
        <v>80</v>
      </c>
      <c r="BV468" t="s">
        <v>90</v>
      </c>
      <c r="BW468" t="s">
        <v>92</v>
      </c>
      <c r="BZ468" s="1">
        <v>45107</v>
      </c>
    </row>
    <row r="469" spans="1:78" ht="15" customHeight="1" x14ac:dyDescent="0.25">
      <c r="A469" t="s">
        <v>93</v>
      </c>
      <c r="B469" t="s">
        <v>94</v>
      </c>
      <c r="C469" s="1">
        <v>44780</v>
      </c>
      <c r="D469" s="1">
        <v>44852</v>
      </c>
      <c r="H469" t="s">
        <v>78</v>
      </c>
      <c r="I469" t="str">
        <f>"WEI"</f>
        <v>WEI</v>
      </c>
      <c r="J469" t="str">
        <f>"SHIEH-KAN"</f>
        <v>SHIEH-KAN</v>
      </c>
      <c r="K469" t="str">
        <f>"CHRISTIAN"</f>
        <v>CHRISTIAN</v>
      </c>
      <c r="L469" t="str">
        <f>"PRESIDENT"</f>
        <v>PRESIDENT</v>
      </c>
      <c r="M469" t="str">
        <f>"P.O. Box 500087"</f>
        <v>P.O. Box 500087</v>
      </c>
      <c r="N469" t="str">
        <f>""</f>
        <v/>
      </c>
      <c r="O469" t="str">
        <f>"Saipan"</f>
        <v>Saipan</v>
      </c>
      <c r="P469" t="str">
        <f t="shared" si="262"/>
        <v>MP</v>
      </c>
      <c r="Q469" s="4" t="str">
        <f t="shared" si="264"/>
        <v>96950</v>
      </c>
      <c r="R469" t="str">
        <f t="shared" si="263"/>
        <v>UNITED STATES OF AMERICA</v>
      </c>
      <c r="S469" t="str">
        <f>"NORTHERN MARIANA ISL"</f>
        <v>NORTHERN MARIANA ISL</v>
      </c>
      <c r="T469" s="5" t="str">
        <f>"16702343203"</f>
        <v>16702343203</v>
      </c>
      <c r="U469" t="str">
        <f>""</f>
        <v/>
      </c>
      <c r="V469" s="5" t="str">
        <f>""</f>
        <v/>
      </c>
      <c r="W469" t="str">
        <f>"hr@eucon.edu"</f>
        <v>hr@eucon.edu</v>
      </c>
      <c r="X469" t="str">
        <f>"CHINESE BIBLE CHURCH INT'L. INC"</f>
        <v>CHINESE BIBLE CHURCH INT'L. INC</v>
      </c>
      <c r="Y469" t="str">
        <f>"EUCON INTERNATIONAL SCHOOL"</f>
        <v>EUCON INTERNATIONAL SCHOOL</v>
      </c>
      <c r="Z469" t="str">
        <f>"P.O. Box 500087"</f>
        <v>P.O. Box 500087</v>
      </c>
      <c r="AA469" t="str">
        <f>""</f>
        <v/>
      </c>
      <c r="AB469" t="str">
        <f>"Saipan"</f>
        <v>Saipan</v>
      </c>
      <c r="AC469" t="str">
        <f t="shared" si="259"/>
        <v>MP</v>
      </c>
      <c r="AD469" t="str">
        <f t="shared" si="265"/>
        <v>96950</v>
      </c>
      <c r="AE469" t="str">
        <f t="shared" si="261"/>
        <v>UNITED STATES OF AMERICA</v>
      </c>
      <c r="AF469" t="str">
        <f>"NORTHERN MARIANA ISL"</f>
        <v>NORTHERN MARIANA ISL</v>
      </c>
      <c r="AG469" s="4" t="str">
        <f>"16702343203"</f>
        <v>16702343203</v>
      </c>
      <c r="AH469" t="str">
        <f>""</f>
        <v/>
      </c>
      <c r="AI469" t="str">
        <f>"61111"</f>
        <v>61111</v>
      </c>
      <c r="AJ469" t="s">
        <v>79</v>
      </c>
      <c r="AK469" t="s">
        <v>79</v>
      </c>
      <c r="AL469" t="s">
        <v>80</v>
      </c>
      <c r="AM469" t="s">
        <v>79</v>
      </c>
      <c r="AP469" t="str">
        <f>"SECONDARY  SCHOOL TEACHER"</f>
        <v>SECONDARY  SCHOOL TEACHER</v>
      </c>
      <c r="AQ469" t="str">
        <f>"25-2031.00"</f>
        <v>25-2031.00</v>
      </c>
      <c r="AR469" t="str">
        <f>"Secondary School Teachers, Except Special and Career/Technical Education"</f>
        <v>Secondary School Teachers, Except Special and Career/Technical Education</v>
      </c>
      <c r="AS469" t="str">
        <f>"SCHOOL PRINCIPAL"</f>
        <v>SCHOOL PRINCIPAL</v>
      </c>
      <c r="AT469" t="s">
        <v>79</v>
      </c>
      <c r="AU469" t="str">
        <f>""</f>
        <v/>
      </c>
      <c r="AV469" t="str">
        <f>""</f>
        <v/>
      </c>
      <c r="AW469" t="s">
        <v>79</v>
      </c>
      <c r="AX469" t="str">
        <f>""</f>
        <v/>
      </c>
      <c r="AY469" t="s">
        <v>95</v>
      </c>
      <c r="BA469" t="s">
        <v>96</v>
      </c>
      <c r="BB469" t="s">
        <v>79</v>
      </c>
      <c r="BD469" t="s">
        <v>79</v>
      </c>
      <c r="BG469" t="s">
        <v>82</v>
      </c>
      <c r="BH469">
        <v>24</v>
      </c>
      <c r="BI469" t="s">
        <v>97</v>
      </c>
      <c r="BJ469" s="2" t="s">
        <v>98</v>
      </c>
      <c r="BK469" t="str">
        <f>"6679 Chalan Pali Arnold Village "</f>
        <v xml:space="preserve">6679 Chalan Pali Arnold Village </v>
      </c>
      <c r="BL469" t="str">
        <f>"I Liyang"</f>
        <v>I Liyang</v>
      </c>
      <c r="BM469" t="str">
        <f>"Saipan"</f>
        <v>Saipan</v>
      </c>
      <c r="BO469" t="s">
        <v>83</v>
      </c>
      <c r="BP469" s="4" t="str">
        <f t="shared" si="266"/>
        <v>96950</v>
      </c>
      <c r="BQ469" t="s">
        <v>79</v>
      </c>
      <c r="BR469" t="str">
        <f>"25-2031.00"</f>
        <v>25-2031.00</v>
      </c>
      <c r="BS469" t="s">
        <v>99</v>
      </c>
      <c r="BT469" s="3">
        <v>16.940000000000001</v>
      </c>
      <c r="BU469" t="s">
        <v>80</v>
      </c>
      <c r="BV469" t="s">
        <v>90</v>
      </c>
      <c r="BW469" t="s">
        <v>92</v>
      </c>
      <c r="BZ469" s="1">
        <v>45107</v>
      </c>
    </row>
    <row r="470" spans="1:78" ht="15" customHeight="1" x14ac:dyDescent="0.25">
      <c r="A470" t="s">
        <v>318</v>
      </c>
      <c r="B470" t="s">
        <v>94</v>
      </c>
      <c r="C470" s="1">
        <v>44808</v>
      </c>
      <c r="D470" s="1">
        <v>44848</v>
      </c>
      <c r="H470" t="s">
        <v>78</v>
      </c>
      <c r="I470" t="str">
        <f>"LERIO"</f>
        <v>LERIO</v>
      </c>
      <c r="J470" t="str">
        <f>"AIREN"</f>
        <v>AIREN</v>
      </c>
      <c r="K470" t="str">
        <f>"PADILLA "</f>
        <v xml:space="preserve">PADILLA </v>
      </c>
      <c r="L470" t="str">
        <f>"ACCOUNTANT"</f>
        <v>ACCOUNTANT</v>
      </c>
      <c r="M470" t="str">
        <f>"AGINGAN LANE, SAN ANTONIO VILLAGE "</f>
        <v xml:space="preserve">AGINGAN LANE, SAN ANTONIO VILLAGE </v>
      </c>
      <c r="N470" t="str">
        <f>"PO BOX 505656"</f>
        <v>PO BOX 505656</v>
      </c>
      <c r="O470" t="str">
        <f>"SAIPAN "</f>
        <v xml:space="preserve">SAIPAN </v>
      </c>
      <c r="P470" t="str">
        <f t="shared" si="262"/>
        <v>MP</v>
      </c>
      <c r="Q470" s="4" t="str">
        <f t="shared" si="264"/>
        <v>96950</v>
      </c>
      <c r="R470" t="str">
        <f t="shared" si="263"/>
        <v>UNITED STATES OF AMERICA</v>
      </c>
      <c r="S470" t="str">
        <f>""</f>
        <v/>
      </c>
      <c r="T470" s="5" t="str">
        <f t="shared" ref="T470:T477" si="267">"16702353027"</f>
        <v>16702353027</v>
      </c>
      <c r="U470" t="str">
        <f>""</f>
        <v/>
      </c>
      <c r="V470" s="5" t="str">
        <f>""</f>
        <v/>
      </c>
      <c r="W470" t="str">
        <f>"airen.lerio@kalayaanspn.com"</f>
        <v>airen.lerio@kalayaanspn.com</v>
      </c>
      <c r="X470" t="str">
        <f>"KALAYAAN, INC. "</f>
        <v xml:space="preserve">KALAYAAN, INC. </v>
      </c>
      <c r="Y470" t="str">
        <f>"MANGKOK"</f>
        <v>MANGKOK</v>
      </c>
      <c r="Z470" t="str">
        <f>"AGINGAN LANE, SAN ANTONIO VILLAGE "</f>
        <v xml:space="preserve">AGINGAN LANE, SAN ANTONIO VILLAGE </v>
      </c>
      <c r="AA470" t="str">
        <f>"PO BOX 505656"</f>
        <v>PO BOX 505656</v>
      </c>
      <c r="AB470" t="str">
        <f>"SAIPAN "</f>
        <v xml:space="preserve">SAIPAN </v>
      </c>
      <c r="AC470" t="str">
        <f t="shared" si="259"/>
        <v>MP</v>
      </c>
      <c r="AD470" t="str">
        <f t="shared" si="265"/>
        <v>96950</v>
      </c>
      <c r="AE470" t="str">
        <f t="shared" si="261"/>
        <v>UNITED STATES OF AMERICA</v>
      </c>
      <c r="AF470" t="str">
        <f>""</f>
        <v/>
      </c>
      <c r="AG470" s="4" t="str">
        <f t="shared" ref="AG470:AG477" si="268">"16702353027"</f>
        <v>16702353027</v>
      </c>
      <c r="AH470" t="str">
        <f>""</f>
        <v/>
      </c>
      <c r="AI470" t="str">
        <f t="shared" ref="AI470:AI477" si="269">"722310"</f>
        <v>722310</v>
      </c>
      <c r="AJ470" t="s">
        <v>79</v>
      </c>
      <c r="AK470" t="s">
        <v>79</v>
      </c>
      <c r="AL470" t="s">
        <v>80</v>
      </c>
      <c r="AM470" t="s">
        <v>79</v>
      </c>
      <c r="AP470" t="str">
        <f>"COOK"</f>
        <v>COOK</v>
      </c>
      <c r="AQ470" t="str">
        <f>"35-2012.00"</f>
        <v>35-2012.00</v>
      </c>
      <c r="AR470" t="str">
        <f>"Cooks, Institution and Cafeteria"</f>
        <v>Cooks, Institution and Cafeteria</v>
      </c>
      <c r="AS470" t="str">
        <f>"QUALITY ASSURANCE MANAGER "</f>
        <v xml:space="preserve">QUALITY ASSURANCE MANAGER </v>
      </c>
      <c r="AT470" t="s">
        <v>79</v>
      </c>
      <c r="AU470" t="str">
        <f>""</f>
        <v/>
      </c>
      <c r="AV470" t="str">
        <f>""</f>
        <v/>
      </c>
      <c r="AW470" t="s">
        <v>79</v>
      </c>
      <c r="AX470" t="str">
        <f>""</f>
        <v/>
      </c>
      <c r="AY470" t="s">
        <v>84</v>
      </c>
      <c r="BA470" t="s">
        <v>80</v>
      </c>
      <c r="BB470" t="s">
        <v>79</v>
      </c>
      <c r="BD470" t="s">
        <v>79</v>
      </c>
      <c r="BG470" t="s">
        <v>82</v>
      </c>
      <c r="BH470">
        <v>12</v>
      </c>
      <c r="BI470" t="s">
        <v>319</v>
      </c>
      <c r="BJ470" t="s">
        <v>320</v>
      </c>
      <c r="BK470" t="str">
        <f>"AGINGAN LANE, SAN ANTONIO VILLAGE "</f>
        <v xml:space="preserve">AGINGAN LANE, SAN ANTONIO VILLAGE </v>
      </c>
      <c r="BL470" t="str">
        <f>"PO BOX 505656"</f>
        <v>PO BOX 505656</v>
      </c>
      <c r="BM470" t="str">
        <f>"SAIPAN "</f>
        <v xml:space="preserve">SAIPAN </v>
      </c>
      <c r="BO470" t="s">
        <v>83</v>
      </c>
      <c r="BP470" s="4" t="str">
        <f t="shared" si="266"/>
        <v>96950</v>
      </c>
      <c r="BQ470" t="s">
        <v>79</v>
      </c>
      <c r="BR470" t="str">
        <f>"35-2012.00"</f>
        <v>35-2012.00</v>
      </c>
      <c r="BS470" t="s">
        <v>287</v>
      </c>
      <c r="BT470" s="3">
        <v>8.76</v>
      </c>
      <c r="BU470" t="s">
        <v>80</v>
      </c>
      <c r="BV470" t="s">
        <v>90</v>
      </c>
      <c r="BW470" t="s">
        <v>92</v>
      </c>
      <c r="BZ470" s="1">
        <v>45107</v>
      </c>
    </row>
    <row r="471" spans="1:78" ht="15" customHeight="1" x14ac:dyDescent="0.25">
      <c r="A471" t="s">
        <v>321</v>
      </c>
      <c r="B471" t="s">
        <v>94</v>
      </c>
      <c r="C471" s="1">
        <v>44808</v>
      </c>
      <c r="D471" s="1">
        <v>44848</v>
      </c>
      <c r="H471" t="s">
        <v>78</v>
      </c>
      <c r="I471" t="str">
        <f>"Lerio"</f>
        <v>Lerio</v>
      </c>
      <c r="J471" t="str">
        <f>"Airen "</f>
        <v xml:space="preserve">Airen </v>
      </c>
      <c r="K471" t="str">
        <f>"Padilla "</f>
        <v xml:space="preserve">Padilla </v>
      </c>
      <c r="L471" t="str">
        <f>"Accountant "</f>
        <v xml:space="preserve">Accountant </v>
      </c>
      <c r="M471" t="str">
        <f>"Agingan Lane, San Antonio Village "</f>
        <v xml:space="preserve">Agingan Lane, San Antonio Village </v>
      </c>
      <c r="N471" t="str">
        <f>"PO Box 505656 "</f>
        <v xml:space="preserve">PO Box 505656 </v>
      </c>
      <c r="O471" t="str">
        <f>"Saipan "</f>
        <v xml:space="preserve">Saipan </v>
      </c>
      <c r="P471" t="str">
        <f t="shared" si="262"/>
        <v>MP</v>
      </c>
      <c r="Q471" s="4" t="str">
        <f t="shared" si="264"/>
        <v>96950</v>
      </c>
      <c r="R471" t="str">
        <f t="shared" si="263"/>
        <v>UNITED STATES OF AMERICA</v>
      </c>
      <c r="S471" t="str">
        <f>""</f>
        <v/>
      </c>
      <c r="T471" s="5" t="str">
        <f t="shared" si="267"/>
        <v>16702353027</v>
      </c>
      <c r="U471" t="str">
        <f>""</f>
        <v/>
      </c>
      <c r="V471" s="5" t="str">
        <f>""</f>
        <v/>
      </c>
      <c r="W471" t="str">
        <f>"airen.lerio@kalayaanspn.com"</f>
        <v>airen.lerio@kalayaanspn.com</v>
      </c>
      <c r="X471" t="str">
        <f>"Kalayaan, Inc.  "</f>
        <v xml:space="preserve">Kalayaan, Inc.  </v>
      </c>
      <c r="Y471" t="str">
        <f>"Mangkok "</f>
        <v xml:space="preserve">Mangkok </v>
      </c>
      <c r="Z471" t="str">
        <f>"Agingan Lane, San Antonio Village "</f>
        <v xml:space="preserve">Agingan Lane, San Antonio Village </v>
      </c>
      <c r="AA471" t="str">
        <f>"PO Box 505656"</f>
        <v>PO Box 505656</v>
      </c>
      <c r="AB471" t="str">
        <f>"Saipan "</f>
        <v xml:space="preserve">Saipan </v>
      </c>
      <c r="AC471" t="str">
        <f t="shared" si="259"/>
        <v>MP</v>
      </c>
      <c r="AD471" t="str">
        <f t="shared" si="265"/>
        <v>96950</v>
      </c>
      <c r="AE471" t="str">
        <f t="shared" si="261"/>
        <v>UNITED STATES OF AMERICA</v>
      </c>
      <c r="AF471" t="str">
        <f>""</f>
        <v/>
      </c>
      <c r="AG471" s="4" t="str">
        <f t="shared" si="268"/>
        <v>16702353027</v>
      </c>
      <c r="AH471" t="str">
        <f>""</f>
        <v/>
      </c>
      <c r="AI471" t="str">
        <f t="shared" si="269"/>
        <v>722310</v>
      </c>
      <c r="AJ471" t="s">
        <v>79</v>
      </c>
      <c r="AK471" t="s">
        <v>79</v>
      </c>
      <c r="AL471" t="s">
        <v>80</v>
      </c>
      <c r="AM471" t="s">
        <v>79</v>
      </c>
      <c r="AP471" t="str">
        <f>"Maintenance Worker "</f>
        <v xml:space="preserve">Maintenance Worker </v>
      </c>
      <c r="AQ471" t="str">
        <f>"49-9071.00"</f>
        <v>49-9071.00</v>
      </c>
      <c r="AR471" t="str">
        <f>"Maintenance and Repair Workers, General"</f>
        <v>Maintenance and Repair Workers, General</v>
      </c>
      <c r="AS471" t="str">
        <f>"Operations Manager "</f>
        <v xml:space="preserve">Operations Manager </v>
      </c>
      <c r="AT471" t="s">
        <v>79</v>
      </c>
      <c r="AU471" t="str">
        <f>""</f>
        <v/>
      </c>
      <c r="AV471" t="str">
        <f>""</f>
        <v/>
      </c>
      <c r="AW471" t="s">
        <v>79</v>
      </c>
      <c r="AX471" t="str">
        <f>""</f>
        <v/>
      </c>
      <c r="AY471" t="s">
        <v>84</v>
      </c>
      <c r="BA471" t="s">
        <v>80</v>
      </c>
      <c r="BB471" t="s">
        <v>79</v>
      </c>
      <c r="BD471" t="s">
        <v>79</v>
      </c>
      <c r="BG471" t="s">
        <v>82</v>
      </c>
      <c r="BH471">
        <v>24</v>
      </c>
      <c r="BI471" t="s">
        <v>322</v>
      </c>
      <c r="BJ471" t="s">
        <v>323</v>
      </c>
      <c r="BK471" t="str">
        <f>"Agingan Lane, San Antonio "</f>
        <v xml:space="preserve">Agingan Lane, San Antonio </v>
      </c>
      <c r="BL471" t="str">
        <f>"Agingan Lane, San Antonio "</f>
        <v xml:space="preserve">Agingan Lane, San Antonio </v>
      </c>
      <c r="BM471" t="str">
        <f>"Saipan "</f>
        <v xml:space="preserve">Saipan </v>
      </c>
      <c r="BO471" t="s">
        <v>83</v>
      </c>
      <c r="BP471" s="4" t="str">
        <f t="shared" si="266"/>
        <v>96950</v>
      </c>
      <c r="BQ471" t="s">
        <v>79</v>
      </c>
      <c r="BR471" t="str">
        <f>"49-9071.00"</f>
        <v>49-9071.00</v>
      </c>
      <c r="BS471" t="s">
        <v>146</v>
      </c>
      <c r="BT471" s="3">
        <v>9.19</v>
      </c>
      <c r="BU471" t="s">
        <v>80</v>
      </c>
      <c r="BV471" t="s">
        <v>90</v>
      </c>
      <c r="BW471" t="s">
        <v>92</v>
      </c>
      <c r="BZ471" s="1">
        <v>45107</v>
      </c>
    </row>
    <row r="472" spans="1:78" ht="15" customHeight="1" x14ac:dyDescent="0.25">
      <c r="A472" t="s">
        <v>324</v>
      </c>
      <c r="B472" t="s">
        <v>94</v>
      </c>
      <c r="C472" s="1">
        <v>44808</v>
      </c>
      <c r="D472" s="1">
        <v>44848</v>
      </c>
      <c r="H472" t="s">
        <v>78</v>
      </c>
      <c r="I472" t="str">
        <f>"Alinas "</f>
        <v xml:space="preserve">Alinas </v>
      </c>
      <c r="J472" t="str">
        <f>"Eleanor "</f>
        <v xml:space="preserve">Eleanor </v>
      </c>
      <c r="K472" t="str">
        <f>"Balansag "</f>
        <v xml:space="preserve">Balansag </v>
      </c>
      <c r="L472" t="str">
        <f>"President "</f>
        <v xml:space="preserve">President </v>
      </c>
      <c r="M472" t="str">
        <f>"Agingan Lane, San Antonio Village "</f>
        <v xml:space="preserve">Agingan Lane, San Antonio Village </v>
      </c>
      <c r="N472" t="str">
        <f>"PO Box 505656 "</f>
        <v xml:space="preserve">PO Box 505656 </v>
      </c>
      <c r="O472" t="str">
        <f>"Saipan "</f>
        <v xml:space="preserve">Saipan </v>
      </c>
      <c r="P472" t="str">
        <f t="shared" si="262"/>
        <v>MP</v>
      </c>
      <c r="Q472" s="4" t="str">
        <f t="shared" si="264"/>
        <v>96950</v>
      </c>
      <c r="R472" t="str">
        <f t="shared" si="263"/>
        <v>UNITED STATES OF AMERICA</v>
      </c>
      <c r="S472" t="str">
        <f>""</f>
        <v/>
      </c>
      <c r="T472" s="5" t="str">
        <f t="shared" si="267"/>
        <v>16702353027</v>
      </c>
      <c r="U472" t="str">
        <f>""</f>
        <v/>
      </c>
      <c r="V472" s="5" t="str">
        <f>""</f>
        <v/>
      </c>
      <c r="W472" t="str">
        <f>"kalayaan.spn@gmail.com"</f>
        <v>kalayaan.spn@gmail.com</v>
      </c>
      <c r="X472" t="str">
        <f>"Kalayaan, Inc. "</f>
        <v xml:space="preserve">Kalayaan, Inc. </v>
      </c>
      <c r="Y472" t="str">
        <f>"Mangkok "</f>
        <v xml:space="preserve">Mangkok </v>
      </c>
      <c r="Z472" t="str">
        <f>"Agingan Lane, San Antonio Village "</f>
        <v xml:space="preserve">Agingan Lane, San Antonio Village </v>
      </c>
      <c r="AA472" t="str">
        <f>"PO Box 505656 "</f>
        <v xml:space="preserve">PO Box 505656 </v>
      </c>
      <c r="AB472" t="str">
        <f>"Saipan "</f>
        <v xml:space="preserve">Saipan </v>
      </c>
      <c r="AC472" t="str">
        <f t="shared" si="259"/>
        <v>MP</v>
      </c>
      <c r="AD472" t="str">
        <f t="shared" si="265"/>
        <v>96950</v>
      </c>
      <c r="AE472" t="str">
        <f t="shared" si="261"/>
        <v>UNITED STATES OF AMERICA</v>
      </c>
      <c r="AF472" t="str">
        <f>""</f>
        <v/>
      </c>
      <c r="AG472" s="4" t="str">
        <f t="shared" si="268"/>
        <v>16702353027</v>
      </c>
      <c r="AH472" t="str">
        <f>""</f>
        <v/>
      </c>
      <c r="AI472" t="str">
        <f t="shared" si="269"/>
        <v>722310</v>
      </c>
      <c r="AJ472" t="s">
        <v>79</v>
      </c>
      <c r="AK472" t="s">
        <v>79</v>
      </c>
      <c r="AL472" t="s">
        <v>80</v>
      </c>
      <c r="AM472" t="s">
        <v>79</v>
      </c>
      <c r="AP472" t="str">
        <f>"Accountant "</f>
        <v xml:space="preserve">Accountant </v>
      </c>
      <c r="AQ472" t="str">
        <f>"13-2011.00"</f>
        <v>13-2011.00</v>
      </c>
      <c r="AR472" t="str">
        <f>"Accountants and Auditors"</f>
        <v>Accountants and Auditors</v>
      </c>
      <c r="AS472" t="str">
        <f>"President "</f>
        <v xml:space="preserve">President </v>
      </c>
      <c r="AT472" t="s">
        <v>79</v>
      </c>
      <c r="AU472" t="str">
        <f>""</f>
        <v/>
      </c>
      <c r="AV472" t="str">
        <f>""</f>
        <v/>
      </c>
      <c r="AW472" t="s">
        <v>79</v>
      </c>
      <c r="AX472" t="str">
        <f>""</f>
        <v/>
      </c>
      <c r="AY472" t="s">
        <v>95</v>
      </c>
      <c r="BA472" t="s">
        <v>325</v>
      </c>
      <c r="BB472" t="s">
        <v>79</v>
      </c>
      <c r="BD472" t="s">
        <v>79</v>
      </c>
      <c r="BG472" t="s">
        <v>82</v>
      </c>
      <c r="BH472">
        <v>48</v>
      </c>
      <c r="BI472" t="s">
        <v>326</v>
      </c>
      <c r="BJ472" s="2" t="s">
        <v>327</v>
      </c>
      <c r="BK472" t="str">
        <f>"Agingan Lane, San Antonio Village "</f>
        <v xml:space="preserve">Agingan Lane, San Antonio Village </v>
      </c>
      <c r="BL472" t="str">
        <f>"Agingan Lane, San Antonio Village "</f>
        <v xml:space="preserve">Agingan Lane, San Antonio Village </v>
      </c>
      <c r="BM472" t="str">
        <f>"Saipn "</f>
        <v xml:space="preserve">Saipn </v>
      </c>
      <c r="BO472" t="s">
        <v>83</v>
      </c>
      <c r="BP472" s="4" t="str">
        <f t="shared" si="266"/>
        <v>96950</v>
      </c>
      <c r="BQ472" t="s">
        <v>79</v>
      </c>
      <c r="BR472" t="str">
        <f>"13-2011.00"</f>
        <v>13-2011.00</v>
      </c>
      <c r="BS472" t="s">
        <v>133</v>
      </c>
      <c r="BT472" s="3">
        <v>16.190000000000001</v>
      </c>
      <c r="BU472" t="s">
        <v>80</v>
      </c>
      <c r="BV472" t="s">
        <v>90</v>
      </c>
      <c r="BW472" t="s">
        <v>92</v>
      </c>
      <c r="BZ472" s="1">
        <v>45107</v>
      </c>
    </row>
    <row r="473" spans="1:78" ht="15" customHeight="1" x14ac:dyDescent="0.25">
      <c r="A473" t="s">
        <v>328</v>
      </c>
      <c r="B473" t="s">
        <v>94</v>
      </c>
      <c r="C473" s="1">
        <v>44808</v>
      </c>
      <c r="D473" s="1">
        <v>44848</v>
      </c>
      <c r="H473" t="s">
        <v>78</v>
      </c>
      <c r="I473" t="str">
        <f>"LERIO "</f>
        <v xml:space="preserve">LERIO </v>
      </c>
      <c r="J473" t="str">
        <f>"AIREN"</f>
        <v>AIREN</v>
      </c>
      <c r="K473" t="str">
        <f>"PADILLA "</f>
        <v xml:space="preserve">PADILLA </v>
      </c>
      <c r="L473" t="str">
        <f>"ACCOUNTANT "</f>
        <v xml:space="preserve">ACCOUNTANT </v>
      </c>
      <c r="M473" t="str">
        <f>"AGINGAN LANE, SAN ANTONIO VILLAGE "</f>
        <v xml:space="preserve">AGINGAN LANE, SAN ANTONIO VILLAGE </v>
      </c>
      <c r="N473" t="str">
        <f>"PO BOX 505656"</f>
        <v>PO BOX 505656</v>
      </c>
      <c r="O473" t="str">
        <f>"SAIPAN "</f>
        <v xml:space="preserve">SAIPAN </v>
      </c>
      <c r="P473" t="str">
        <f t="shared" si="262"/>
        <v>MP</v>
      </c>
      <c r="Q473" s="4" t="str">
        <f t="shared" si="264"/>
        <v>96950</v>
      </c>
      <c r="R473" t="str">
        <f t="shared" si="263"/>
        <v>UNITED STATES OF AMERICA</v>
      </c>
      <c r="S473" t="str">
        <f>""</f>
        <v/>
      </c>
      <c r="T473" s="5" t="str">
        <f t="shared" si="267"/>
        <v>16702353027</v>
      </c>
      <c r="U473" t="str">
        <f>""</f>
        <v/>
      </c>
      <c r="V473" s="5" t="str">
        <f>""</f>
        <v/>
      </c>
      <c r="W473" t="str">
        <f>"airen.lerio@kalayaanspn.com"</f>
        <v>airen.lerio@kalayaanspn.com</v>
      </c>
      <c r="X473" t="str">
        <f>"Kalayaan, Inc. "</f>
        <v xml:space="preserve">Kalayaan, Inc. </v>
      </c>
      <c r="Y473" t="str">
        <f>"Mangkok "</f>
        <v xml:space="preserve">Mangkok </v>
      </c>
      <c r="Z473" t="str">
        <f>"Agingan Lane, San Antonio Village "</f>
        <v xml:space="preserve">Agingan Lane, San Antonio Village </v>
      </c>
      <c r="AA473" t="str">
        <f>"PO Box 505656"</f>
        <v>PO Box 505656</v>
      </c>
      <c r="AB473" t="str">
        <f>"Saipan "</f>
        <v xml:space="preserve">Saipan </v>
      </c>
      <c r="AC473" t="str">
        <f t="shared" si="259"/>
        <v>MP</v>
      </c>
      <c r="AD473" t="str">
        <f t="shared" si="265"/>
        <v>96950</v>
      </c>
      <c r="AE473" t="str">
        <f t="shared" si="261"/>
        <v>UNITED STATES OF AMERICA</v>
      </c>
      <c r="AF473" t="str">
        <f>""</f>
        <v/>
      </c>
      <c r="AG473" s="4" t="str">
        <f t="shared" si="268"/>
        <v>16702353027</v>
      </c>
      <c r="AH473" t="str">
        <f>""</f>
        <v/>
      </c>
      <c r="AI473" t="str">
        <f t="shared" si="269"/>
        <v>722310</v>
      </c>
      <c r="AJ473" t="s">
        <v>79</v>
      </c>
      <c r="AK473" t="s">
        <v>79</v>
      </c>
      <c r="AL473" t="s">
        <v>80</v>
      </c>
      <c r="AM473" t="s">
        <v>79</v>
      </c>
      <c r="AP473" t="str">
        <f>"Bakers "</f>
        <v xml:space="preserve">Bakers </v>
      </c>
      <c r="AQ473" t="str">
        <f>"51-3011.00"</f>
        <v>51-3011.00</v>
      </c>
      <c r="AR473" t="str">
        <f>"Bakers"</f>
        <v>Bakers</v>
      </c>
      <c r="AS473" t="str">
        <f>"Quality Assurance Manager "</f>
        <v xml:space="preserve">Quality Assurance Manager </v>
      </c>
      <c r="AT473" t="s">
        <v>79</v>
      </c>
      <c r="AU473" t="str">
        <f>""</f>
        <v/>
      </c>
      <c r="AV473" t="str">
        <f>""</f>
        <v/>
      </c>
      <c r="AW473" t="s">
        <v>79</v>
      </c>
      <c r="AX473" t="str">
        <f>""</f>
        <v/>
      </c>
      <c r="AY473" t="s">
        <v>84</v>
      </c>
      <c r="BA473" t="s">
        <v>80</v>
      </c>
      <c r="BB473" t="s">
        <v>79</v>
      </c>
      <c r="BD473" t="s">
        <v>79</v>
      </c>
      <c r="BG473" t="s">
        <v>82</v>
      </c>
      <c r="BH473">
        <v>12</v>
      </c>
      <c r="BI473" t="s">
        <v>329</v>
      </c>
      <c r="BJ473" s="2" t="s">
        <v>330</v>
      </c>
      <c r="BK473" t="str">
        <f>"Agingan Lane, San Antonio Village "</f>
        <v xml:space="preserve">Agingan Lane, San Antonio Village </v>
      </c>
      <c r="BL473" t="str">
        <f>"Agingan Lane, San Antonio Village "</f>
        <v xml:space="preserve">Agingan Lane, San Antonio Village </v>
      </c>
      <c r="BM473" t="str">
        <f>"Saipan "</f>
        <v xml:space="preserve">Saipan </v>
      </c>
      <c r="BO473" t="s">
        <v>83</v>
      </c>
      <c r="BP473" s="4" t="str">
        <f t="shared" si="266"/>
        <v>96950</v>
      </c>
      <c r="BQ473" t="s">
        <v>79</v>
      </c>
      <c r="BR473" t="str">
        <f>"51-3011.00"</f>
        <v>51-3011.00</v>
      </c>
      <c r="BS473" t="s">
        <v>331</v>
      </c>
      <c r="BT473" s="3">
        <v>8.19</v>
      </c>
      <c r="BU473" t="s">
        <v>80</v>
      </c>
      <c r="BV473" t="s">
        <v>90</v>
      </c>
      <c r="BW473" t="s">
        <v>92</v>
      </c>
      <c r="BZ473" s="1">
        <v>45107</v>
      </c>
    </row>
    <row r="474" spans="1:78" ht="15" customHeight="1" x14ac:dyDescent="0.25">
      <c r="A474" t="s">
        <v>332</v>
      </c>
      <c r="B474" t="s">
        <v>94</v>
      </c>
      <c r="C474" s="1">
        <v>44808</v>
      </c>
      <c r="D474" s="1">
        <v>44848</v>
      </c>
      <c r="H474" t="s">
        <v>78</v>
      </c>
      <c r="I474" t="str">
        <f>"LERIO "</f>
        <v xml:space="preserve">LERIO </v>
      </c>
      <c r="J474" t="str">
        <f>"AIREN "</f>
        <v xml:space="preserve">AIREN </v>
      </c>
      <c r="K474" t="str">
        <f>"PADILLA "</f>
        <v xml:space="preserve">PADILLA </v>
      </c>
      <c r="L474" t="str">
        <f>"ACCOUNTANT "</f>
        <v xml:space="preserve">ACCOUNTANT </v>
      </c>
      <c r="M474" t="str">
        <f>"AGINGAN LANE, SAN ANTONIO VILLAGE "</f>
        <v xml:space="preserve">AGINGAN LANE, SAN ANTONIO VILLAGE </v>
      </c>
      <c r="N474" t="str">
        <f>"PO BOX 505656"</f>
        <v>PO BOX 505656</v>
      </c>
      <c r="O474" t="str">
        <f>"SAIPAN "</f>
        <v xml:space="preserve">SAIPAN </v>
      </c>
      <c r="P474" t="str">
        <f t="shared" si="262"/>
        <v>MP</v>
      </c>
      <c r="Q474" s="4" t="str">
        <f t="shared" si="264"/>
        <v>96950</v>
      </c>
      <c r="R474" t="str">
        <f t="shared" si="263"/>
        <v>UNITED STATES OF AMERICA</v>
      </c>
      <c r="S474" t="str">
        <f>""</f>
        <v/>
      </c>
      <c r="T474" s="5" t="str">
        <f t="shared" si="267"/>
        <v>16702353027</v>
      </c>
      <c r="U474" t="str">
        <f>""</f>
        <v/>
      </c>
      <c r="V474" s="5" t="str">
        <f>""</f>
        <v/>
      </c>
      <c r="W474" t="str">
        <f>"airen.lerio@kalayaanspn.com"</f>
        <v>airen.lerio@kalayaanspn.com</v>
      </c>
      <c r="X474" t="str">
        <f>"KALAYAAN, INC. "</f>
        <v xml:space="preserve">KALAYAAN, INC. </v>
      </c>
      <c r="Y474" t="str">
        <f>"MANGKOK "</f>
        <v xml:space="preserve">MANGKOK </v>
      </c>
      <c r="Z474" t="str">
        <f>"AGINGAN LANE, SAN ANTONIO VILLAGE "</f>
        <v xml:space="preserve">AGINGAN LANE, SAN ANTONIO VILLAGE </v>
      </c>
      <c r="AA474" t="str">
        <f>"PO BOX 505656"</f>
        <v>PO BOX 505656</v>
      </c>
      <c r="AB474" t="str">
        <f>"SAIPAN "</f>
        <v xml:space="preserve">SAIPAN </v>
      </c>
      <c r="AC474" t="str">
        <f t="shared" si="259"/>
        <v>MP</v>
      </c>
      <c r="AD474" t="str">
        <f t="shared" si="265"/>
        <v>96950</v>
      </c>
      <c r="AE474" t="str">
        <f t="shared" si="261"/>
        <v>UNITED STATES OF AMERICA</v>
      </c>
      <c r="AF474" t="str">
        <f>""</f>
        <v/>
      </c>
      <c r="AG474" s="4" t="str">
        <f t="shared" si="268"/>
        <v>16702353027</v>
      </c>
      <c r="AH474" t="str">
        <f>""</f>
        <v/>
      </c>
      <c r="AI474" t="str">
        <f t="shared" si="269"/>
        <v>722310</v>
      </c>
      <c r="AJ474" t="s">
        <v>79</v>
      </c>
      <c r="AK474" t="s">
        <v>79</v>
      </c>
      <c r="AL474" t="s">
        <v>80</v>
      </c>
      <c r="AM474" t="s">
        <v>79</v>
      </c>
      <c r="AP474" t="str">
        <f>"GROUNDS MAINTENANCE WORKER "</f>
        <v xml:space="preserve">GROUNDS MAINTENANCE WORKER </v>
      </c>
      <c r="AQ474" t="str">
        <f>"37-3011.00"</f>
        <v>37-3011.00</v>
      </c>
      <c r="AR474" t="str">
        <f>"Landscaping and Groundskeeping Workers"</f>
        <v>Landscaping and Groundskeeping Workers</v>
      </c>
      <c r="AS474" t="str">
        <f>"OPERATIONS MANAGER "</f>
        <v xml:space="preserve">OPERATIONS MANAGER </v>
      </c>
      <c r="AT474" t="s">
        <v>79</v>
      </c>
      <c r="AU474" t="str">
        <f>""</f>
        <v/>
      </c>
      <c r="AV474" t="str">
        <f>""</f>
        <v/>
      </c>
      <c r="AW474" t="s">
        <v>79</v>
      </c>
      <c r="AX474" t="str">
        <f>""</f>
        <v/>
      </c>
      <c r="AY474" t="s">
        <v>84</v>
      </c>
      <c r="BA474" t="s">
        <v>80</v>
      </c>
      <c r="BB474" t="s">
        <v>79</v>
      </c>
      <c r="BD474" t="s">
        <v>79</v>
      </c>
      <c r="BG474" t="s">
        <v>82</v>
      </c>
      <c r="BH474">
        <v>3</v>
      </c>
      <c r="BI474" t="s">
        <v>333</v>
      </c>
      <c r="BJ474" s="2" t="s">
        <v>334</v>
      </c>
      <c r="BK474" t="str">
        <f>"AGINGAN LANE, SAN ANTONIO VILLAGE "</f>
        <v xml:space="preserve">AGINGAN LANE, SAN ANTONIO VILLAGE </v>
      </c>
      <c r="BL474" t="str">
        <f>"AGINGAN LANE, SAN ANTONIO VILLAGE "</f>
        <v xml:space="preserve">AGINGAN LANE, SAN ANTONIO VILLAGE </v>
      </c>
      <c r="BM474" t="str">
        <f>"SAIPAN "</f>
        <v xml:space="preserve">SAIPAN </v>
      </c>
      <c r="BO474" t="s">
        <v>83</v>
      </c>
      <c r="BP474" s="4" t="str">
        <f t="shared" si="266"/>
        <v>96950</v>
      </c>
      <c r="BQ474" t="s">
        <v>79</v>
      </c>
      <c r="BR474" t="str">
        <f>"37-3011.00"</f>
        <v>37-3011.00</v>
      </c>
      <c r="BS474" t="s">
        <v>122</v>
      </c>
      <c r="BT474" s="3">
        <v>8.1300000000000008</v>
      </c>
      <c r="BU474" t="s">
        <v>80</v>
      </c>
      <c r="BV474" t="s">
        <v>90</v>
      </c>
      <c r="BW474" t="s">
        <v>92</v>
      </c>
      <c r="BZ474" s="1">
        <v>45107</v>
      </c>
    </row>
    <row r="475" spans="1:78" ht="15" customHeight="1" x14ac:dyDescent="0.25">
      <c r="A475" t="s">
        <v>335</v>
      </c>
      <c r="B475" t="s">
        <v>94</v>
      </c>
      <c r="C475" s="1">
        <v>44808</v>
      </c>
      <c r="D475" s="1">
        <v>44848</v>
      </c>
      <c r="H475" t="s">
        <v>78</v>
      </c>
      <c r="I475" t="str">
        <f>"LERIO"</f>
        <v>LERIO</v>
      </c>
      <c r="J475" t="str">
        <f>"AIREN "</f>
        <v xml:space="preserve">AIREN </v>
      </c>
      <c r="K475" t="str">
        <f>"PADILA "</f>
        <v xml:space="preserve">PADILA </v>
      </c>
      <c r="L475" t="str">
        <f>"ACCOUNTANT "</f>
        <v xml:space="preserve">ACCOUNTANT </v>
      </c>
      <c r="M475" t="str">
        <f>"AGINGAN LANE, SAN ANTONIO VILLAGE "</f>
        <v xml:space="preserve">AGINGAN LANE, SAN ANTONIO VILLAGE </v>
      </c>
      <c r="N475" t="str">
        <f>"PO BOX 505656 "</f>
        <v xml:space="preserve">PO BOX 505656 </v>
      </c>
      <c r="O475" t="str">
        <f>"SAIPAN "</f>
        <v xml:space="preserve">SAIPAN </v>
      </c>
      <c r="P475" t="str">
        <f t="shared" si="262"/>
        <v>MP</v>
      </c>
      <c r="Q475" s="4" t="str">
        <f t="shared" si="264"/>
        <v>96950</v>
      </c>
      <c r="R475" t="str">
        <f t="shared" si="263"/>
        <v>UNITED STATES OF AMERICA</v>
      </c>
      <c r="S475" t="str">
        <f>""</f>
        <v/>
      </c>
      <c r="T475" s="5" t="str">
        <f t="shared" si="267"/>
        <v>16702353027</v>
      </c>
      <c r="U475" t="str">
        <f>""</f>
        <v/>
      </c>
      <c r="V475" s="5" t="str">
        <f>""</f>
        <v/>
      </c>
      <c r="W475" t="str">
        <f>"airen.lerio@kalayaanspn.com"</f>
        <v>airen.lerio@kalayaanspn.com</v>
      </c>
      <c r="X475" t="str">
        <f>"KALAYAAN, INC.  "</f>
        <v xml:space="preserve">KALAYAAN, INC.  </v>
      </c>
      <c r="Y475" t="str">
        <f>"MANGKOK "</f>
        <v xml:space="preserve">MANGKOK </v>
      </c>
      <c r="Z475" t="str">
        <f>"AGINGAN LANE, SAN ANTONIO VILLAGE "</f>
        <v xml:space="preserve">AGINGAN LANE, SAN ANTONIO VILLAGE </v>
      </c>
      <c r="AA475" t="str">
        <f>"PO BOX 505656 "</f>
        <v xml:space="preserve">PO BOX 505656 </v>
      </c>
      <c r="AB475" t="str">
        <f>"SAIPAN "</f>
        <v xml:space="preserve">SAIPAN </v>
      </c>
      <c r="AC475" t="str">
        <f t="shared" si="259"/>
        <v>MP</v>
      </c>
      <c r="AD475" t="str">
        <f t="shared" si="265"/>
        <v>96950</v>
      </c>
      <c r="AE475" t="str">
        <f t="shared" si="261"/>
        <v>UNITED STATES OF AMERICA</v>
      </c>
      <c r="AF475" t="str">
        <f>""</f>
        <v/>
      </c>
      <c r="AG475" s="4" t="str">
        <f t="shared" si="268"/>
        <v>16702353027</v>
      </c>
      <c r="AH475" t="str">
        <f>""</f>
        <v/>
      </c>
      <c r="AI475" t="str">
        <f t="shared" si="269"/>
        <v>722310</v>
      </c>
      <c r="AJ475" t="s">
        <v>79</v>
      </c>
      <c r="AK475" t="s">
        <v>79</v>
      </c>
      <c r="AL475" t="s">
        <v>80</v>
      </c>
      <c r="AM475" t="s">
        <v>79</v>
      </c>
      <c r="AP475" t="str">
        <f>"HUMAN RESOURCE ASSISTANT "</f>
        <v xml:space="preserve">HUMAN RESOURCE ASSISTANT </v>
      </c>
      <c r="AQ475" t="str">
        <f>"43-4161.00"</f>
        <v>43-4161.00</v>
      </c>
      <c r="AR475" t="str">
        <f>"Human Resources Assistants, Except Payroll and Timekeeping"</f>
        <v>Human Resources Assistants, Except Payroll and Timekeeping</v>
      </c>
      <c r="AS475" t="str">
        <f>"GENERAL MANAGER "</f>
        <v xml:space="preserve">GENERAL MANAGER </v>
      </c>
      <c r="AT475" t="s">
        <v>79</v>
      </c>
      <c r="AU475" t="str">
        <f>""</f>
        <v/>
      </c>
      <c r="AV475" t="str">
        <f>""</f>
        <v/>
      </c>
      <c r="AW475" t="s">
        <v>79</v>
      </c>
      <c r="AX475" t="str">
        <f>""</f>
        <v/>
      </c>
      <c r="AY475" t="s">
        <v>84</v>
      </c>
      <c r="BA475" t="s">
        <v>80</v>
      </c>
      <c r="BB475" t="s">
        <v>79</v>
      </c>
      <c r="BD475" t="s">
        <v>79</v>
      </c>
      <c r="BG475" t="s">
        <v>82</v>
      </c>
      <c r="BH475">
        <v>12</v>
      </c>
      <c r="BI475" t="s">
        <v>336</v>
      </c>
      <c r="BJ475" t="s">
        <v>337</v>
      </c>
      <c r="BK475" t="str">
        <f>"AGINGAN LANE, SAN ANTONIO VILLAGE  "</f>
        <v xml:space="preserve">AGINGAN LANE, SAN ANTONIO VILLAGE  </v>
      </c>
      <c r="BL475" t="str">
        <f>"PO BOX 505656"</f>
        <v>PO BOX 505656</v>
      </c>
      <c r="BM475" t="str">
        <f>"SAIPAN "</f>
        <v xml:space="preserve">SAIPAN </v>
      </c>
      <c r="BO475" t="s">
        <v>83</v>
      </c>
      <c r="BP475" s="4" t="str">
        <f t="shared" si="266"/>
        <v>96950</v>
      </c>
      <c r="BQ475" t="s">
        <v>79</v>
      </c>
      <c r="BR475" t="str">
        <f>"43-4161.00"</f>
        <v>43-4161.00</v>
      </c>
      <c r="BS475" t="s">
        <v>338</v>
      </c>
      <c r="BT475" s="3">
        <v>10</v>
      </c>
      <c r="BU475" t="s">
        <v>80</v>
      </c>
      <c r="BV475" t="s">
        <v>90</v>
      </c>
      <c r="BW475" t="s">
        <v>92</v>
      </c>
      <c r="BZ475" s="1">
        <v>45107</v>
      </c>
    </row>
    <row r="476" spans="1:78" ht="15" customHeight="1" x14ac:dyDescent="0.25">
      <c r="A476" t="s">
        <v>339</v>
      </c>
      <c r="B476" t="s">
        <v>94</v>
      </c>
      <c r="C476" s="1">
        <v>44808</v>
      </c>
      <c r="D476" s="1">
        <v>44848</v>
      </c>
      <c r="H476" t="s">
        <v>78</v>
      </c>
      <c r="I476" t="str">
        <f>"ALINAS "</f>
        <v xml:space="preserve">ALINAS </v>
      </c>
      <c r="J476" t="str">
        <f>"ELEANOR "</f>
        <v xml:space="preserve">ELEANOR </v>
      </c>
      <c r="K476" t="str">
        <f>"BALANSAG "</f>
        <v xml:space="preserve">BALANSAG </v>
      </c>
      <c r="L476" t="str">
        <f>"PRESIDENT "</f>
        <v xml:space="preserve">PRESIDENT </v>
      </c>
      <c r="M476" t="str">
        <f>"AGINGAN LANE, SAN ANTONIO VILLAGE "</f>
        <v xml:space="preserve">AGINGAN LANE, SAN ANTONIO VILLAGE </v>
      </c>
      <c r="N476" t="str">
        <f>"PO BOX 505656 "</f>
        <v xml:space="preserve">PO BOX 505656 </v>
      </c>
      <c r="O476" t="str">
        <f>"SAIPAN "</f>
        <v xml:space="preserve">SAIPAN </v>
      </c>
      <c r="P476" t="str">
        <f t="shared" si="262"/>
        <v>MP</v>
      </c>
      <c r="Q476" s="4" t="str">
        <f t="shared" si="264"/>
        <v>96950</v>
      </c>
      <c r="R476" t="str">
        <f t="shared" si="263"/>
        <v>UNITED STATES OF AMERICA</v>
      </c>
      <c r="S476" t="str">
        <f>""</f>
        <v/>
      </c>
      <c r="T476" s="5" t="str">
        <f t="shared" si="267"/>
        <v>16702353027</v>
      </c>
      <c r="U476" t="str">
        <f>""</f>
        <v/>
      </c>
      <c r="V476" s="5" t="str">
        <f>""</f>
        <v/>
      </c>
      <c r="W476" t="str">
        <f>"kalayaan.spn@gmail.com"</f>
        <v>kalayaan.spn@gmail.com</v>
      </c>
      <c r="X476" t="str">
        <f>"KALAYAAN, INC. "</f>
        <v xml:space="preserve">KALAYAAN, INC. </v>
      </c>
      <c r="Y476" t="str">
        <f>"MANGKOK "</f>
        <v xml:space="preserve">MANGKOK </v>
      </c>
      <c r="Z476" t="str">
        <f>"AGINGAN LANE, SAN ANTONIO VILLAGE "</f>
        <v xml:space="preserve">AGINGAN LANE, SAN ANTONIO VILLAGE </v>
      </c>
      <c r="AA476" t="str">
        <f>"PO BOX 505656 "</f>
        <v xml:space="preserve">PO BOX 505656 </v>
      </c>
      <c r="AB476" t="str">
        <f>"SAIPAN "</f>
        <v xml:space="preserve">SAIPAN </v>
      </c>
      <c r="AC476" t="str">
        <f t="shared" si="259"/>
        <v>MP</v>
      </c>
      <c r="AD476" t="str">
        <f t="shared" si="265"/>
        <v>96950</v>
      </c>
      <c r="AE476" t="str">
        <f t="shared" si="261"/>
        <v>UNITED STATES OF AMERICA</v>
      </c>
      <c r="AF476" t="str">
        <f>""</f>
        <v/>
      </c>
      <c r="AG476" s="4" t="str">
        <f t="shared" si="268"/>
        <v>16702353027</v>
      </c>
      <c r="AH476" t="str">
        <f>""</f>
        <v/>
      </c>
      <c r="AI476" t="str">
        <f t="shared" si="269"/>
        <v>722310</v>
      </c>
      <c r="AJ476" t="s">
        <v>79</v>
      </c>
      <c r="AK476" t="s">
        <v>79</v>
      </c>
      <c r="AL476" t="s">
        <v>80</v>
      </c>
      <c r="AM476" t="s">
        <v>79</v>
      </c>
      <c r="AP476" t="str">
        <f>"STOCK-WAREHOUSE CLERK "</f>
        <v xml:space="preserve">STOCK-WAREHOUSE CLERK </v>
      </c>
      <c r="AQ476" t="str">
        <f>"53-7065.00"</f>
        <v>53-7065.00</v>
      </c>
      <c r="AR476" t="str">
        <f>"Stockers and Order Fillers"</f>
        <v>Stockers and Order Fillers</v>
      </c>
      <c r="AS476" t="str">
        <f>"OPERATIONS MANAGER "</f>
        <v xml:space="preserve">OPERATIONS MANAGER </v>
      </c>
      <c r="AT476" t="s">
        <v>79</v>
      </c>
      <c r="AU476" t="str">
        <f>""</f>
        <v/>
      </c>
      <c r="AV476" t="str">
        <f>""</f>
        <v/>
      </c>
      <c r="AW476" t="s">
        <v>79</v>
      </c>
      <c r="AX476" t="str">
        <f>""</f>
        <v/>
      </c>
      <c r="AY476" t="s">
        <v>84</v>
      </c>
      <c r="BA476" t="s">
        <v>80</v>
      </c>
      <c r="BB476" t="s">
        <v>79</v>
      </c>
      <c r="BD476" t="s">
        <v>79</v>
      </c>
      <c r="BG476" t="s">
        <v>82</v>
      </c>
      <c r="BH476">
        <v>12</v>
      </c>
      <c r="BI476" t="s">
        <v>340</v>
      </c>
      <c r="BJ476" s="2" t="s">
        <v>341</v>
      </c>
      <c r="BK476" t="str">
        <f>"AGINGAN LANE, SAN ANTONIO VILLAGE "</f>
        <v xml:space="preserve">AGINGAN LANE, SAN ANTONIO VILLAGE </v>
      </c>
      <c r="BL476" t="str">
        <f>"AGINGAN LANE, SAN ANTONIO VILLAGE "</f>
        <v xml:space="preserve">AGINGAN LANE, SAN ANTONIO VILLAGE </v>
      </c>
      <c r="BM476" t="str">
        <f>"SAIPAN  "</f>
        <v xml:space="preserve">SAIPAN  </v>
      </c>
      <c r="BO476" t="s">
        <v>83</v>
      </c>
      <c r="BP476" s="4" t="str">
        <f t="shared" si="266"/>
        <v>96950</v>
      </c>
      <c r="BQ476" t="s">
        <v>79</v>
      </c>
      <c r="BR476" t="str">
        <f>"53-7065.00"</f>
        <v>53-7065.00</v>
      </c>
      <c r="BS476" t="s">
        <v>342</v>
      </c>
      <c r="BT476" s="3">
        <v>7.97</v>
      </c>
      <c r="BU476" t="s">
        <v>80</v>
      </c>
      <c r="BV476" t="s">
        <v>90</v>
      </c>
      <c r="BW476" t="s">
        <v>92</v>
      </c>
      <c r="BZ476" s="1">
        <v>45107</v>
      </c>
    </row>
    <row r="477" spans="1:78" ht="15" customHeight="1" x14ac:dyDescent="0.25">
      <c r="A477" t="s">
        <v>314</v>
      </c>
      <c r="B477" t="s">
        <v>94</v>
      </c>
      <c r="C477" s="1">
        <v>44807</v>
      </c>
      <c r="D477" s="1">
        <v>44848</v>
      </c>
      <c r="H477" t="s">
        <v>78</v>
      </c>
      <c r="I477" t="str">
        <f>"LERIO"</f>
        <v>LERIO</v>
      </c>
      <c r="J477" t="str">
        <f>"AIREN"</f>
        <v>AIREN</v>
      </c>
      <c r="K477" t="str">
        <f>"PADILLA"</f>
        <v>PADILLA</v>
      </c>
      <c r="L477" t="str">
        <f>"ACCOUNTANT"</f>
        <v>ACCOUNTANT</v>
      </c>
      <c r="M477" t="str">
        <f>"P.O. BOX 505656, AGINGAN LANE, SAN ANTONIO VILLAGE"</f>
        <v>P.O. BOX 505656, AGINGAN LANE, SAN ANTONIO VILLAGE</v>
      </c>
      <c r="N477" t="str">
        <f>""</f>
        <v/>
      </c>
      <c r="O477" t="str">
        <f>"SAIPAN"</f>
        <v>SAIPAN</v>
      </c>
      <c r="P477" t="str">
        <f t="shared" si="262"/>
        <v>MP</v>
      </c>
      <c r="Q477" s="4" t="str">
        <f t="shared" si="264"/>
        <v>96950</v>
      </c>
      <c r="R477" t="str">
        <f t="shared" si="263"/>
        <v>UNITED STATES OF AMERICA</v>
      </c>
      <c r="S477" t="str">
        <f>""</f>
        <v/>
      </c>
      <c r="T477" s="5" t="str">
        <f t="shared" si="267"/>
        <v>16702353027</v>
      </c>
      <c r="U477" t="str">
        <f>""</f>
        <v/>
      </c>
      <c r="V477" s="5" t="str">
        <f>""</f>
        <v/>
      </c>
      <c r="W477" t="str">
        <f>"airen.lerio@kalayaan.com"</f>
        <v>airen.lerio@kalayaan.com</v>
      </c>
      <c r="X477" t="str">
        <f>"KALAYAAN INC."</f>
        <v>KALAYAAN INC.</v>
      </c>
      <c r="Y477" t="str">
        <f>"MANGKOK"</f>
        <v>MANGKOK</v>
      </c>
      <c r="Z477" t="str">
        <f>"P.O. BOX 505656, AGINGAN LANE,  SAN ANTONIO VILLAGE"</f>
        <v>P.O. BOX 505656, AGINGAN LANE,  SAN ANTONIO VILLAGE</v>
      </c>
      <c r="AA477" t="str">
        <f>""</f>
        <v/>
      </c>
      <c r="AB477" t="str">
        <f>"SAIPAN"</f>
        <v>SAIPAN</v>
      </c>
      <c r="AC477" t="str">
        <f t="shared" si="259"/>
        <v>MP</v>
      </c>
      <c r="AD477" t="str">
        <f t="shared" si="265"/>
        <v>96950</v>
      </c>
      <c r="AE477" t="str">
        <f t="shared" si="261"/>
        <v>UNITED STATES OF AMERICA</v>
      </c>
      <c r="AF477" t="str">
        <f>""</f>
        <v/>
      </c>
      <c r="AG477" s="4" t="str">
        <f t="shared" si="268"/>
        <v>16702353027</v>
      </c>
      <c r="AH477" t="str">
        <f>""</f>
        <v/>
      </c>
      <c r="AI477" t="str">
        <f t="shared" si="269"/>
        <v>722310</v>
      </c>
      <c r="AJ477" t="s">
        <v>79</v>
      </c>
      <c r="AK477" t="s">
        <v>79</v>
      </c>
      <c r="AL477" t="s">
        <v>80</v>
      </c>
      <c r="AM477" t="s">
        <v>79</v>
      </c>
      <c r="AP477" t="str">
        <f>"KITCHEN HELPER"</f>
        <v>KITCHEN HELPER</v>
      </c>
      <c r="AQ477" t="str">
        <f>"35-9021.00"</f>
        <v>35-9021.00</v>
      </c>
      <c r="AR477" t="str">
        <f>"Dishwashers"</f>
        <v>Dishwashers</v>
      </c>
      <c r="AS477" t="str">
        <f>"MANAGER"</f>
        <v>MANAGER</v>
      </c>
      <c r="AT477" t="s">
        <v>79</v>
      </c>
      <c r="AU477" t="str">
        <f>""</f>
        <v/>
      </c>
      <c r="AV477" t="str">
        <f>""</f>
        <v/>
      </c>
      <c r="AW477" t="s">
        <v>79</v>
      </c>
      <c r="AX477" t="str">
        <f>""</f>
        <v/>
      </c>
      <c r="AY477" t="s">
        <v>84</v>
      </c>
      <c r="BA477" t="s">
        <v>80</v>
      </c>
      <c r="BB477" t="s">
        <v>79</v>
      </c>
      <c r="BD477" t="s">
        <v>79</v>
      </c>
      <c r="BG477" t="s">
        <v>82</v>
      </c>
      <c r="BH477">
        <v>3</v>
      </c>
      <c r="BI477" t="s">
        <v>315</v>
      </c>
      <c r="BJ477" t="s">
        <v>316</v>
      </c>
      <c r="BK477" t="str">
        <f>"AGINGAN LANE, SAN ANTONIO VILLAGE "</f>
        <v xml:space="preserve">AGINGAN LANE, SAN ANTONIO VILLAGE </v>
      </c>
      <c r="BL477" t="str">
        <f>""</f>
        <v/>
      </c>
      <c r="BM477" t="str">
        <f>"SAIPAN"</f>
        <v>SAIPAN</v>
      </c>
      <c r="BO477" t="s">
        <v>83</v>
      </c>
      <c r="BP477" s="4" t="str">
        <f t="shared" si="266"/>
        <v>96950</v>
      </c>
      <c r="BQ477" t="s">
        <v>79</v>
      </c>
      <c r="BR477" t="str">
        <f>"35-9021.00"</f>
        <v>35-9021.00</v>
      </c>
      <c r="BS477" t="s">
        <v>317</v>
      </c>
      <c r="BT477" s="3">
        <v>8.0299999999999994</v>
      </c>
      <c r="BU477" t="s">
        <v>80</v>
      </c>
      <c r="BV477" t="s">
        <v>90</v>
      </c>
      <c r="BW477" t="s">
        <v>92</v>
      </c>
      <c r="BZ477" s="1">
        <v>45107</v>
      </c>
    </row>
    <row r="478" spans="1:78" ht="15" customHeight="1" x14ac:dyDescent="0.25">
      <c r="A478" t="s">
        <v>308</v>
      </c>
      <c r="B478" t="s">
        <v>94</v>
      </c>
      <c r="C478" s="1">
        <v>44805</v>
      </c>
      <c r="D478" s="1">
        <v>44845</v>
      </c>
      <c r="H478" t="s">
        <v>78</v>
      </c>
      <c r="I478" t="str">
        <f>"ALARZAR"</f>
        <v>ALARZAR</v>
      </c>
      <c r="J478" t="str">
        <f>"SYLVIA"</f>
        <v>SYLVIA</v>
      </c>
      <c r="K478" t="str">
        <f>"M."</f>
        <v>M.</v>
      </c>
      <c r="L478" t="str">
        <f>"ACCOUNTANT"</f>
        <v>ACCOUNTANT</v>
      </c>
      <c r="M478" t="str">
        <f>"P.O. Box 501190, San Antonio"</f>
        <v>P.O. Box 501190, San Antonio</v>
      </c>
      <c r="N478" t="str">
        <f>"Afetna Rd. San Antonio Village"</f>
        <v>Afetna Rd. San Antonio Village</v>
      </c>
      <c r="O478" t="str">
        <f>"Saipan"</f>
        <v>Saipan</v>
      </c>
      <c r="P478" t="str">
        <f t="shared" si="262"/>
        <v>MP</v>
      </c>
      <c r="Q478" s="4" t="str">
        <f t="shared" si="264"/>
        <v>96950</v>
      </c>
      <c r="R478" t="str">
        <f t="shared" si="263"/>
        <v>UNITED STATES OF AMERICA</v>
      </c>
      <c r="S478" t="str">
        <f>""</f>
        <v/>
      </c>
      <c r="T478" s="5" t="str">
        <f>"16702343201"</f>
        <v>16702343201</v>
      </c>
      <c r="U478" t="str">
        <f>""</f>
        <v/>
      </c>
      <c r="V478" s="5" t="str">
        <f>""</f>
        <v/>
      </c>
      <c r="W478" t="str">
        <f>"greenstar550707@gmail.com"</f>
        <v>greenstar550707@gmail.com</v>
      </c>
      <c r="X478" t="str">
        <f>"Greenstar Corporation"</f>
        <v>Greenstar Corporation</v>
      </c>
      <c r="Y478" t="str">
        <f>"Greenstar Corporation"</f>
        <v>Greenstar Corporation</v>
      </c>
      <c r="Z478" t="str">
        <f>"P.O. Box 501190, San Antonio"</f>
        <v>P.O. Box 501190, San Antonio</v>
      </c>
      <c r="AA478" t="str">
        <f>"Afetna Rd. San Antonio"</f>
        <v>Afetna Rd. San Antonio</v>
      </c>
      <c r="AB478" t="str">
        <f>"Saipan, MP"</f>
        <v>Saipan, MP</v>
      </c>
      <c r="AC478" t="str">
        <f t="shared" si="259"/>
        <v>MP</v>
      </c>
      <c r="AD478" t="str">
        <f t="shared" si="265"/>
        <v>96950</v>
      </c>
      <c r="AE478" t="str">
        <f t="shared" si="261"/>
        <v>UNITED STATES OF AMERICA</v>
      </c>
      <c r="AF478" t="str">
        <f>""</f>
        <v/>
      </c>
      <c r="AG478" s="4" t="str">
        <f>"16702343201"</f>
        <v>16702343201</v>
      </c>
      <c r="AH478" t="str">
        <f>""</f>
        <v/>
      </c>
      <c r="AI478" t="str">
        <f>"236220"</f>
        <v>236220</v>
      </c>
      <c r="AJ478" t="s">
        <v>79</v>
      </c>
      <c r="AK478" t="s">
        <v>79</v>
      </c>
      <c r="AL478" t="s">
        <v>80</v>
      </c>
      <c r="AM478" t="s">
        <v>79</v>
      </c>
      <c r="AP478" t="str">
        <f>"Maintenance and Repair Workers, General"</f>
        <v>Maintenance and Repair Workers, General</v>
      </c>
      <c r="AQ478" t="str">
        <f>"49-9071.00"</f>
        <v>49-9071.00</v>
      </c>
      <c r="AR478" t="str">
        <f>"Maintenance and Repair Workers, General"</f>
        <v>Maintenance and Repair Workers, General</v>
      </c>
      <c r="AS478" t="str">
        <f>""</f>
        <v/>
      </c>
      <c r="AT478" t="s">
        <v>79</v>
      </c>
      <c r="AU478" t="str">
        <f>""</f>
        <v/>
      </c>
      <c r="AV478" t="str">
        <f>""</f>
        <v/>
      </c>
      <c r="AW478" t="s">
        <v>82</v>
      </c>
      <c r="AX478" t="str">
        <f>"Travel from their house going to Afetna, San Antonio (work place)"</f>
        <v>Travel from their house going to Afetna, San Antonio (work place)</v>
      </c>
      <c r="AY478" t="s">
        <v>81</v>
      </c>
      <c r="BA478" t="s">
        <v>80</v>
      </c>
      <c r="BB478" t="s">
        <v>79</v>
      </c>
      <c r="BD478" t="s">
        <v>79</v>
      </c>
      <c r="BG478" t="s">
        <v>82</v>
      </c>
      <c r="BH478">
        <v>6</v>
      </c>
      <c r="BI478" t="s">
        <v>146</v>
      </c>
      <c r="BJ478" t="s">
        <v>309</v>
      </c>
      <c r="BK478" t="str">
        <f>"Afetna Rd., San Antonio Village"</f>
        <v>Afetna Rd., San Antonio Village</v>
      </c>
      <c r="BL478" t="str">
        <f>""</f>
        <v/>
      </c>
      <c r="BM478" t="str">
        <f>"Saipan"</f>
        <v>Saipan</v>
      </c>
      <c r="BO478" t="s">
        <v>83</v>
      </c>
      <c r="BP478" s="4" t="str">
        <f t="shared" si="266"/>
        <v>96950</v>
      </c>
      <c r="BQ478" t="s">
        <v>79</v>
      </c>
      <c r="BR478" t="str">
        <f>"49-9071.00"</f>
        <v>49-9071.00</v>
      </c>
      <c r="BS478" t="s">
        <v>146</v>
      </c>
      <c r="BT478" s="3">
        <v>9.19</v>
      </c>
      <c r="BU478" t="s">
        <v>80</v>
      </c>
      <c r="BV478" t="s">
        <v>90</v>
      </c>
      <c r="BW478" t="s">
        <v>92</v>
      </c>
      <c r="BZ478" s="1">
        <v>45107</v>
      </c>
    </row>
    <row r="479" spans="1:78" ht="15" customHeight="1" x14ac:dyDescent="0.25">
      <c r="A479" t="s">
        <v>310</v>
      </c>
      <c r="B479" t="s">
        <v>94</v>
      </c>
      <c r="C479" s="1">
        <v>44805</v>
      </c>
      <c r="D479" s="1">
        <v>44845</v>
      </c>
      <c r="H479" t="s">
        <v>78</v>
      </c>
      <c r="I479" t="str">
        <f>"WAN"</f>
        <v>WAN</v>
      </c>
      <c r="J479" t="str">
        <f>"KIN YEE EDICK"</f>
        <v>KIN YEE EDICK</v>
      </c>
      <c r="K479" t="str">
        <f>""</f>
        <v/>
      </c>
      <c r="L479" t="str">
        <f>"BOOKKEEPER"</f>
        <v>BOOKKEEPER</v>
      </c>
      <c r="M479" t="str">
        <f>"PMB 266 BOX 10003"</f>
        <v>PMB 266 BOX 10003</v>
      </c>
      <c r="N479" t="str">
        <f>""</f>
        <v/>
      </c>
      <c r="O479" t="str">
        <f>"saipan"</f>
        <v>saipan</v>
      </c>
      <c r="P479" t="str">
        <f t="shared" si="262"/>
        <v>MP</v>
      </c>
      <c r="Q479" s="4" t="str">
        <f t="shared" si="264"/>
        <v>96950</v>
      </c>
      <c r="R479" t="str">
        <f t="shared" si="263"/>
        <v>UNITED STATES OF AMERICA</v>
      </c>
      <c r="S479" t="str">
        <f>""</f>
        <v/>
      </c>
      <c r="T479" s="5" t="str">
        <f>"16702876661"</f>
        <v>16702876661</v>
      </c>
      <c r="U479" t="str">
        <f>""</f>
        <v/>
      </c>
      <c r="V479" s="5" t="str">
        <f>""</f>
        <v/>
      </c>
      <c r="W479" t="str">
        <f>"kefengspn@gmail.com"</f>
        <v>kefengspn@gmail.com</v>
      </c>
      <c r="X479" t="str">
        <f>"KEFENG CORPORATION"</f>
        <v>KEFENG CORPORATION</v>
      </c>
      <c r="Y479" t="str">
        <f>"CHANGGUI DECORATION"</f>
        <v>CHANGGUI DECORATION</v>
      </c>
      <c r="Z479" t="str">
        <f>"PMB 266 BOX 10003"</f>
        <v>PMB 266 BOX 10003</v>
      </c>
      <c r="AA479" t="str">
        <f>""</f>
        <v/>
      </c>
      <c r="AB479" t="str">
        <f>"SAIPAN"</f>
        <v>SAIPAN</v>
      </c>
      <c r="AC479" t="str">
        <f t="shared" si="259"/>
        <v>MP</v>
      </c>
      <c r="AD479" t="str">
        <f t="shared" si="265"/>
        <v>96950</v>
      </c>
      <c r="AE479" t="str">
        <f t="shared" si="261"/>
        <v>UNITED STATES OF AMERICA</v>
      </c>
      <c r="AF479" t="str">
        <f>""</f>
        <v/>
      </c>
      <c r="AG479" s="4" t="str">
        <f>"16702876661"</f>
        <v>16702876661</v>
      </c>
      <c r="AH479" t="str">
        <f>""</f>
        <v/>
      </c>
      <c r="AI479" t="str">
        <f>"2383"</f>
        <v>2383</v>
      </c>
      <c r="AJ479" t="s">
        <v>79</v>
      </c>
      <c r="AK479" t="s">
        <v>79</v>
      </c>
      <c r="AL479" t="s">
        <v>80</v>
      </c>
      <c r="AM479" t="s">
        <v>79</v>
      </c>
      <c r="AP479" t="str">
        <f>"JANITORS AND CLEANERS"</f>
        <v>JANITORS AND CLEANERS</v>
      </c>
      <c r="AQ479" t="str">
        <f>"37-2011.00"</f>
        <v>37-2011.00</v>
      </c>
      <c r="AR479" t="str">
        <f>"Janitors and Cleaners, Except Maids and Housekeeping Cleaners"</f>
        <v>Janitors and Cleaners, Except Maids and Housekeeping Cleaners</v>
      </c>
      <c r="AS479" t="str">
        <f>"MANAGER"</f>
        <v>MANAGER</v>
      </c>
      <c r="AT479" t="s">
        <v>79</v>
      </c>
      <c r="AU479" t="str">
        <f>""</f>
        <v/>
      </c>
      <c r="AV479" t="str">
        <f>""</f>
        <v/>
      </c>
      <c r="AW479" t="s">
        <v>79</v>
      </c>
      <c r="AX479" t="str">
        <f>""</f>
        <v/>
      </c>
      <c r="AY479" t="s">
        <v>81</v>
      </c>
      <c r="BA479" t="s">
        <v>80</v>
      </c>
      <c r="BB479" t="s">
        <v>79</v>
      </c>
      <c r="BD479" t="s">
        <v>79</v>
      </c>
      <c r="BG479" t="s">
        <v>82</v>
      </c>
      <c r="BH479">
        <v>12</v>
      </c>
      <c r="BI479" t="s">
        <v>311</v>
      </c>
      <c r="BJ479" t="s">
        <v>312</v>
      </c>
      <c r="BK479" t="str">
        <f>"PMB 266 BOX 10003"</f>
        <v>PMB 266 BOX 10003</v>
      </c>
      <c r="BL479" t="str">
        <f>"5474 ELLEGH AV, OLEAI"</f>
        <v>5474 ELLEGH AV, OLEAI</v>
      </c>
      <c r="BM479" t="str">
        <f>"SAIPAN"</f>
        <v>SAIPAN</v>
      </c>
      <c r="BO479" t="s">
        <v>83</v>
      </c>
      <c r="BP479" s="4" t="str">
        <f t="shared" si="266"/>
        <v>96950</v>
      </c>
      <c r="BQ479" t="s">
        <v>79</v>
      </c>
      <c r="BR479" t="str">
        <f>"37-2011.00"</f>
        <v>37-2011.00</v>
      </c>
      <c r="BS479" t="s">
        <v>313</v>
      </c>
      <c r="BT479" s="3">
        <v>7.99</v>
      </c>
      <c r="BU479" t="s">
        <v>80</v>
      </c>
      <c r="BV479" t="s">
        <v>90</v>
      </c>
      <c r="BW479" t="s">
        <v>92</v>
      </c>
      <c r="BZ479" s="1">
        <v>45107</v>
      </c>
    </row>
    <row r="480" spans="1:78" ht="15" customHeight="1" x14ac:dyDescent="0.25">
      <c r="A480" t="s">
        <v>297</v>
      </c>
      <c r="B480" t="s">
        <v>94</v>
      </c>
      <c r="C480" s="1">
        <v>44804</v>
      </c>
      <c r="D480" s="1">
        <v>44845</v>
      </c>
      <c r="H480" t="s">
        <v>78</v>
      </c>
      <c r="I480" t="str">
        <f>"CHEN "</f>
        <v xml:space="preserve">CHEN </v>
      </c>
      <c r="J480" t="str">
        <f>"DINGFA"</f>
        <v>DINGFA</v>
      </c>
      <c r="K480" t="str">
        <f>"N/A"</f>
        <v>N/A</v>
      </c>
      <c r="L480" t="str">
        <f>"PRESIDENT"</f>
        <v>PRESIDENT</v>
      </c>
      <c r="M480" t="str">
        <f>"MIDDLE ROAD"</f>
        <v>MIDDLE ROAD</v>
      </c>
      <c r="N480" t="str">
        <f>"GARAPAN"</f>
        <v>GARAPAN</v>
      </c>
      <c r="O480" t="str">
        <f>"SAIPAN"</f>
        <v>SAIPAN</v>
      </c>
      <c r="P480" t="str">
        <f t="shared" si="262"/>
        <v>MP</v>
      </c>
      <c r="Q480" s="4" t="str">
        <f t="shared" si="264"/>
        <v>96950</v>
      </c>
      <c r="R480" t="str">
        <f t="shared" si="263"/>
        <v>UNITED STATES OF AMERICA</v>
      </c>
      <c r="S480" t="str">
        <f>"N/A"</f>
        <v>N/A</v>
      </c>
      <c r="T480" s="5" t="str">
        <f>"16702356623"</f>
        <v>16702356623</v>
      </c>
      <c r="U480" t="str">
        <f>""</f>
        <v/>
      </c>
      <c r="V480" s="5" t="str">
        <f>""</f>
        <v/>
      </c>
      <c r="W480" t="str">
        <f>"DINGFACHEN.DFC@GMAIL.COM"</f>
        <v>DINGFACHEN.DFC@GMAIL.COM</v>
      </c>
      <c r="X480" t="str">
        <f>"JRP ENTERPRISES, INC."</f>
        <v>JRP ENTERPRISES, INC.</v>
      </c>
      <c r="Y480" t="str">
        <f>""</f>
        <v/>
      </c>
      <c r="Z480" t="str">
        <f>"MIDDLE ROAD"</f>
        <v>MIDDLE ROAD</v>
      </c>
      <c r="AA480" t="str">
        <f>"GARAPAN"</f>
        <v>GARAPAN</v>
      </c>
      <c r="AB480" t="str">
        <f>"SAIPAN"</f>
        <v>SAIPAN</v>
      </c>
      <c r="AC480" t="str">
        <f t="shared" si="259"/>
        <v>MP</v>
      </c>
      <c r="AD480" t="str">
        <f t="shared" si="265"/>
        <v>96950</v>
      </c>
      <c r="AE480" t="str">
        <f t="shared" si="261"/>
        <v>UNITED STATES OF AMERICA</v>
      </c>
      <c r="AF480" t="str">
        <f>"N/A"</f>
        <v>N/A</v>
      </c>
      <c r="AG480" s="4" t="str">
        <f>"16702356623"</f>
        <v>16702356623</v>
      </c>
      <c r="AH480" t="str">
        <f>""</f>
        <v/>
      </c>
      <c r="AI480" t="str">
        <f>"236116"</f>
        <v>236116</v>
      </c>
      <c r="AJ480" t="s">
        <v>79</v>
      </c>
      <c r="AK480" t="s">
        <v>79</v>
      </c>
      <c r="AL480" t="s">
        <v>80</v>
      </c>
      <c r="AM480" t="s">
        <v>79</v>
      </c>
      <c r="AP480" t="str">
        <f>"MANAGER"</f>
        <v>MANAGER</v>
      </c>
      <c r="AQ480" t="str">
        <f>"11-1021.00"</f>
        <v>11-1021.00</v>
      </c>
      <c r="AR480" t="str">
        <f>"General and Operations Managers"</f>
        <v>General and Operations Managers</v>
      </c>
      <c r="AS480" t="str">
        <f>"PRESIDENT"</f>
        <v>PRESIDENT</v>
      </c>
      <c r="AT480" t="s">
        <v>82</v>
      </c>
      <c r="AU480" t="str">
        <f>"1"</f>
        <v>1</v>
      </c>
      <c r="AV480" t="str">
        <f>"Subordinate"</f>
        <v>Subordinate</v>
      </c>
      <c r="AW480" t="s">
        <v>79</v>
      </c>
      <c r="AX480" t="str">
        <f>""</f>
        <v/>
      </c>
      <c r="AY480" t="s">
        <v>84</v>
      </c>
      <c r="BA480" t="s">
        <v>80</v>
      </c>
      <c r="BB480" t="s">
        <v>79</v>
      </c>
      <c r="BD480" t="s">
        <v>79</v>
      </c>
      <c r="BG480" t="s">
        <v>82</v>
      </c>
      <c r="BH480">
        <v>24</v>
      </c>
      <c r="BI480" t="s">
        <v>298</v>
      </c>
      <c r="BJ480" t="s">
        <v>115</v>
      </c>
      <c r="BK480" t="str">
        <f>"MIDDLE ROAD"</f>
        <v>MIDDLE ROAD</v>
      </c>
      <c r="BL480" t="str">
        <f>"GARAPAN"</f>
        <v>GARAPAN</v>
      </c>
      <c r="BM480" t="str">
        <f>"SAIPAN"</f>
        <v>SAIPAN</v>
      </c>
      <c r="BO480" t="s">
        <v>83</v>
      </c>
      <c r="BP480" s="4" t="str">
        <f t="shared" si="266"/>
        <v>96950</v>
      </c>
      <c r="BQ480" t="s">
        <v>82</v>
      </c>
      <c r="BR480" t="str">
        <f>"11-1021.00"</f>
        <v>11-1021.00</v>
      </c>
      <c r="BS480" t="s">
        <v>244</v>
      </c>
      <c r="BT480" s="3">
        <v>20.83</v>
      </c>
      <c r="BU480" t="s">
        <v>80</v>
      </c>
      <c r="BV480" t="s">
        <v>90</v>
      </c>
      <c r="BW480" t="s">
        <v>92</v>
      </c>
      <c r="BZ480" s="1">
        <v>45107</v>
      </c>
    </row>
    <row r="481" spans="1:78" ht="15" customHeight="1" x14ac:dyDescent="0.25">
      <c r="A481" t="s">
        <v>299</v>
      </c>
      <c r="B481" t="s">
        <v>94</v>
      </c>
      <c r="C481" s="1">
        <v>44804</v>
      </c>
      <c r="D481" s="1">
        <v>44845</v>
      </c>
      <c r="H481" t="s">
        <v>78</v>
      </c>
      <c r="I481" t="str">
        <f>"HOSSAIN"</f>
        <v>HOSSAIN</v>
      </c>
      <c r="J481" t="str">
        <f>"SALVACION"</f>
        <v>SALVACION</v>
      </c>
      <c r="K481" t="str">
        <f>"NAPA"</f>
        <v>NAPA</v>
      </c>
      <c r="L481" t="str">
        <f>"SECRETARY"</f>
        <v>SECRETARY</v>
      </c>
      <c r="M481" t="str">
        <f>"PMB 108, PO BOX 10001 "</f>
        <v xml:space="preserve">PMB 108, PO BOX 10001 </v>
      </c>
      <c r="N481" t="str">
        <f>"BEACH ROAD CORNER ALUS STREET, GARAPAN"</f>
        <v>BEACH ROAD CORNER ALUS STREET, GARAPAN</v>
      </c>
      <c r="O481" t="str">
        <f>"SAIPAN"</f>
        <v>SAIPAN</v>
      </c>
      <c r="P481" t="str">
        <f t="shared" si="262"/>
        <v>MP</v>
      </c>
      <c r="Q481" s="4" t="str">
        <f t="shared" si="264"/>
        <v>96950</v>
      </c>
      <c r="R481" t="str">
        <f t="shared" si="263"/>
        <v>UNITED STATES OF AMERICA</v>
      </c>
      <c r="S481" t="str">
        <f>"N/A"</f>
        <v>N/A</v>
      </c>
      <c r="T481" s="5" t="str">
        <f>"16702330880"</f>
        <v>16702330880</v>
      </c>
      <c r="U481" t="str">
        <f>""</f>
        <v/>
      </c>
      <c r="V481" s="5" t="str">
        <f>""</f>
        <v/>
      </c>
      <c r="W481" t="str">
        <f>"GLOBALKSCORP32@GMAIL.COM"</f>
        <v>GLOBALKSCORP32@GMAIL.COM</v>
      </c>
      <c r="X481" t="str">
        <f>"GLOBAL KS CORPORATION "</f>
        <v xml:space="preserve">GLOBAL KS CORPORATION </v>
      </c>
      <c r="Y481" t="str">
        <f>"KS MARKET"</f>
        <v>KS MARKET</v>
      </c>
      <c r="Z481" t="str">
        <f>"PMB 108, PO BOX 10001 "</f>
        <v xml:space="preserve">PMB 108, PO BOX 10001 </v>
      </c>
      <c r="AA481" t="str">
        <f>"BEACH ROAD CORNER ALUS STREET, GARAPAN "</f>
        <v xml:space="preserve">BEACH ROAD CORNER ALUS STREET, GARAPAN </v>
      </c>
      <c r="AB481" t="str">
        <f>"SAIPAN"</f>
        <v>SAIPAN</v>
      </c>
      <c r="AC481" t="str">
        <f t="shared" si="259"/>
        <v>MP</v>
      </c>
      <c r="AD481" t="str">
        <f t="shared" si="265"/>
        <v>96950</v>
      </c>
      <c r="AE481" t="str">
        <f t="shared" si="261"/>
        <v>UNITED STATES OF AMERICA</v>
      </c>
      <c r="AF481" t="str">
        <f>"N/A"</f>
        <v>N/A</v>
      </c>
      <c r="AG481" s="4" t="str">
        <f>"1670233088"</f>
        <v>1670233088</v>
      </c>
      <c r="AH481" t="str">
        <f>""</f>
        <v/>
      </c>
      <c r="AI481" t="str">
        <f>"4451"</f>
        <v>4451</v>
      </c>
      <c r="AJ481" t="s">
        <v>79</v>
      </c>
      <c r="AK481" t="s">
        <v>79</v>
      </c>
      <c r="AL481" t="s">
        <v>80</v>
      </c>
      <c r="AM481" t="s">
        <v>79</v>
      </c>
      <c r="AP481" t="str">
        <f>"INVENTORY CLERK"</f>
        <v>INVENTORY CLERK</v>
      </c>
      <c r="AQ481" t="str">
        <f>"43-5071.00"</f>
        <v>43-5071.00</v>
      </c>
      <c r="AR481" t="str">
        <f>"Shipping, Receiving, and Inventory Clerks"</f>
        <v>Shipping, Receiving, and Inventory Clerks</v>
      </c>
      <c r="AS481" t="str">
        <f>"MANAGER"</f>
        <v>MANAGER</v>
      </c>
      <c r="AT481" t="s">
        <v>79</v>
      </c>
      <c r="AU481" t="str">
        <f>""</f>
        <v/>
      </c>
      <c r="AV481" t="str">
        <f>""</f>
        <v/>
      </c>
      <c r="AW481" t="s">
        <v>79</v>
      </c>
      <c r="AX481" t="str">
        <f>""</f>
        <v/>
      </c>
      <c r="AY481" t="s">
        <v>81</v>
      </c>
      <c r="BA481" t="s">
        <v>80</v>
      </c>
      <c r="BB481" t="s">
        <v>79</v>
      </c>
      <c r="BD481" t="s">
        <v>79</v>
      </c>
      <c r="BG481" t="s">
        <v>82</v>
      </c>
      <c r="BH481">
        <v>12</v>
      </c>
      <c r="BI481" t="s">
        <v>300</v>
      </c>
      <c r="BJ481" t="s">
        <v>115</v>
      </c>
      <c r="BK481" t="str">
        <f>"BEACH ROAD CORNER ALUS STREET"</f>
        <v>BEACH ROAD CORNER ALUS STREET</v>
      </c>
      <c r="BL481" t="str">
        <f>"GARAPAN"</f>
        <v>GARAPAN</v>
      </c>
      <c r="BM481" t="str">
        <f>"SAIPAN"</f>
        <v>SAIPAN</v>
      </c>
      <c r="BO481" t="s">
        <v>83</v>
      </c>
      <c r="BP481" s="4" t="str">
        <f t="shared" si="266"/>
        <v>96950</v>
      </c>
      <c r="BQ481" t="s">
        <v>79</v>
      </c>
      <c r="BR481" t="str">
        <f>"43-5071.00"</f>
        <v>43-5071.00</v>
      </c>
      <c r="BS481" t="s">
        <v>301</v>
      </c>
      <c r="BT481" s="3">
        <v>11.35</v>
      </c>
      <c r="BU481" t="s">
        <v>80</v>
      </c>
      <c r="BV481" t="s">
        <v>90</v>
      </c>
      <c r="BW481" t="s">
        <v>92</v>
      </c>
      <c r="BZ481" s="1">
        <v>45107</v>
      </c>
    </row>
    <row r="482" spans="1:78" ht="15" customHeight="1" x14ac:dyDescent="0.25">
      <c r="A482" t="s">
        <v>302</v>
      </c>
      <c r="B482" t="s">
        <v>94</v>
      </c>
      <c r="C482" s="1">
        <v>44804</v>
      </c>
      <c r="D482" s="1">
        <v>44845</v>
      </c>
      <c r="H482" t="s">
        <v>78</v>
      </c>
      <c r="I482" t="str">
        <f>"DOCA"</f>
        <v>DOCA</v>
      </c>
      <c r="J482" t="str">
        <f>"ROSE ANN "</f>
        <v xml:space="preserve">ROSE ANN </v>
      </c>
      <c r="K482" t="str">
        <f>"DELA CRUZ "</f>
        <v xml:space="preserve">DELA CRUZ </v>
      </c>
      <c r="L482" t="str">
        <f>"MANAGER "</f>
        <v xml:space="preserve">MANAGER </v>
      </c>
      <c r="M482" t="str">
        <f>"P.O. BOX 503938"</f>
        <v>P.O. BOX 503938</v>
      </c>
      <c r="N482" t="str">
        <f>"GROUND FLOOR, UNIT 101, MMC II BUILDING, CHALAN KANOA"</f>
        <v>GROUND FLOOR, UNIT 101, MMC II BUILDING, CHALAN KANOA</v>
      </c>
      <c r="O482" t="str">
        <f>"SAIPAN"</f>
        <v>SAIPAN</v>
      </c>
      <c r="P482" t="str">
        <f t="shared" si="262"/>
        <v>MP</v>
      </c>
      <c r="Q482" s="4" t="str">
        <f t="shared" si="264"/>
        <v>96950</v>
      </c>
      <c r="R482" t="str">
        <f t="shared" si="263"/>
        <v>UNITED STATES OF AMERICA</v>
      </c>
      <c r="S482" t="str">
        <f>"N/A"</f>
        <v>N/A</v>
      </c>
      <c r="T482" s="5" t="str">
        <f>"16702873622"</f>
        <v>16702873622</v>
      </c>
      <c r="U482" t="str">
        <f>""</f>
        <v/>
      </c>
      <c r="V482" s="5" t="str">
        <f>""</f>
        <v/>
      </c>
      <c r="W482" t="str">
        <f>"RITODOCA071719@GMAIL.COM"</f>
        <v>RITODOCA071719@GMAIL.COM</v>
      </c>
      <c r="X482" t="str">
        <f>"AMALGAMATED SYSTEMS, LLC"</f>
        <v>AMALGAMATED SYSTEMS, LLC</v>
      </c>
      <c r="Y482" t="str">
        <f>""</f>
        <v/>
      </c>
      <c r="Z482" t="str">
        <f>"P.O. BOX 503938, SAIPAN"</f>
        <v>P.O. BOX 503938, SAIPAN</v>
      </c>
      <c r="AA482" t="str">
        <f>"GROUND FLOOR, UNIT 101, MMC II BUILDING"</f>
        <v>GROUND FLOOR, UNIT 101, MMC II BUILDING</v>
      </c>
      <c r="AB482" t="str">
        <f>"SAIPAN"</f>
        <v>SAIPAN</v>
      </c>
      <c r="AC482" t="str">
        <f t="shared" ref="AC482:AC501" si="270">"MP"</f>
        <v>MP</v>
      </c>
      <c r="AD482" t="str">
        <f t="shared" si="265"/>
        <v>96950</v>
      </c>
      <c r="AE482" t="str">
        <f t="shared" si="261"/>
        <v>UNITED STATES OF AMERICA</v>
      </c>
      <c r="AF482" t="str">
        <f>"N/A"</f>
        <v>N/A</v>
      </c>
      <c r="AG482" s="4" t="str">
        <f>"16702873622"</f>
        <v>16702873622</v>
      </c>
      <c r="AH482" t="str">
        <f>""</f>
        <v/>
      </c>
      <c r="AI482" t="str">
        <f>"5613"</f>
        <v>5613</v>
      </c>
      <c r="AJ482" t="s">
        <v>79</v>
      </c>
      <c r="AK482" t="s">
        <v>79</v>
      </c>
      <c r="AL482" t="s">
        <v>80</v>
      </c>
      <c r="AM482" t="s">
        <v>79</v>
      </c>
      <c r="AP482" t="str">
        <f>"MAINTENANCE AND REPAIR WORKERS"</f>
        <v>MAINTENANCE AND REPAIR WORKERS</v>
      </c>
      <c r="AQ482" t="str">
        <f>"49-9071.00"</f>
        <v>49-9071.00</v>
      </c>
      <c r="AR482" t="str">
        <f>"Maintenance and Repair Workers, General"</f>
        <v>Maintenance and Repair Workers, General</v>
      </c>
      <c r="AS482" t="str">
        <f>"MANAGER"</f>
        <v>MANAGER</v>
      </c>
      <c r="AT482" t="s">
        <v>79</v>
      </c>
      <c r="AU482" t="str">
        <f>""</f>
        <v/>
      </c>
      <c r="AV482" t="str">
        <f>""</f>
        <v/>
      </c>
      <c r="AW482" t="s">
        <v>79</v>
      </c>
      <c r="AX482" t="str">
        <f>""</f>
        <v/>
      </c>
      <c r="AY482" t="s">
        <v>81</v>
      </c>
      <c r="BA482" t="s">
        <v>80</v>
      </c>
      <c r="BB482" t="s">
        <v>79</v>
      </c>
      <c r="BD482" t="s">
        <v>79</v>
      </c>
      <c r="BG482" t="s">
        <v>82</v>
      </c>
      <c r="BH482">
        <v>24</v>
      </c>
      <c r="BI482" t="s">
        <v>303</v>
      </c>
      <c r="BJ482" t="s">
        <v>115</v>
      </c>
      <c r="BK482" t="str">
        <f>"GROUND FLOOR, UNIT 101, MMC II BUILDING"</f>
        <v>GROUND FLOOR, UNIT 101, MMC II BUILDING</v>
      </c>
      <c r="BL482" t="str">
        <f>"CHALAN KANOA"</f>
        <v>CHALAN KANOA</v>
      </c>
      <c r="BM482" t="str">
        <f>"SAIPAN"</f>
        <v>SAIPAN</v>
      </c>
      <c r="BO482" t="s">
        <v>83</v>
      </c>
      <c r="BP482" s="4" t="str">
        <f t="shared" si="266"/>
        <v>96950</v>
      </c>
      <c r="BQ482" t="s">
        <v>79</v>
      </c>
      <c r="BR482" t="str">
        <f>"49-9071.00"</f>
        <v>49-9071.00</v>
      </c>
      <c r="BS482" t="s">
        <v>146</v>
      </c>
      <c r="BT482" s="3">
        <v>9.19</v>
      </c>
      <c r="BU482" t="s">
        <v>80</v>
      </c>
      <c r="BV482" t="s">
        <v>90</v>
      </c>
      <c r="BW482" t="s">
        <v>92</v>
      </c>
      <c r="BZ482" s="1">
        <v>45107</v>
      </c>
    </row>
    <row r="483" spans="1:78" ht="15" customHeight="1" x14ac:dyDescent="0.25">
      <c r="A483" t="s">
        <v>304</v>
      </c>
      <c r="B483" t="s">
        <v>94</v>
      </c>
      <c r="C483" s="1">
        <v>44804</v>
      </c>
      <c r="D483" s="1">
        <v>44845</v>
      </c>
      <c r="H483" t="s">
        <v>78</v>
      </c>
      <c r="I483" t="str">
        <f>"MAILMAN"</f>
        <v>MAILMAN</v>
      </c>
      <c r="J483" t="str">
        <f>"BRUCE"</f>
        <v>BRUCE</v>
      </c>
      <c r="K483" t="str">
        <f>"LEE"</f>
        <v>LEE</v>
      </c>
      <c r="L483" t="str">
        <f>"ATTORNEY "</f>
        <v xml:space="preserve">ATTORNEY </v>
      </c>
      <c r="M483" t="str">
        <f>"2ND FLOOR SASHA BLDG. BEACH ROAD CHALAN LAULAU"</f>
        <v>2ND FLOOR SASHA BLDG. BEACH ROAD CHALAN LAULAU</v>
      </c>
      <c r="N483" t="str">
        <f>"PMB 238 PPP BOX 10000"</f>
        <v>PMB 238 PPP BOX 10000</v>
      </c>
      <c r="O483" t="str">
        <f>"SAIPAN"</f>
        <v>SAIPAN</v>
      </c>
      <c r="P483" t="str">
        <f>"NA"</f>
        <v>NA</v>
      </c>
      <c r="Q483" s="4" t="str">
        <f t="shared" si="264"/>
        <v>96950</v>
      </c>
      <c r="R483" t="str">
        <f t="shared" si="263"/>
        <v>UNITED STATES OF AMERICA</v>
      </c>
      <c r="S483" t="str">
        <f>""</f>
        <v/>
      </c>
      <c r="T483" s="5" t="str">
        <f>"16702330081"</f>
        <v>16702330081</v>
      </c>
      <c r="U483" t="str">
        <f>""</f>
        <v/>
      </c>
      <c r="V483" s="5" t="str">
        <f>""</f>
        <v/>
      </c>
      <c r="W483" t="str">
        <f>"BMAILMAN@LEXMARIANAS.COM"</f>
        <v>BMAILMAN@LEXMARIANAS.COM</v>
      </c>
      <c r="X483" t="str">
        <f>"WORLD CONSULTING CENTER, LLC"</f>
        <v>WORLD CONSULTING CENTER, LLC</v>
      </c>
      <c r="Y483" t="str">
        <f>""</f>
        <v/>
      </c>
      <c r="Z483" t="str">
        <f>"KAPUTAT DR., SAN VICENTE"</f>
        <v>KAPUTAT DR., SAN VICENTE</v>
      </c>
      <c r="AA483" t="str">
        <f>"PMB 208 BOX 10000"</f>
        <v>PMB 208 BOX 10000</v>
      </c>
      <c r="AB483" t="str">
        <f>"SAIPAN"</f>
        <v>SAIPAN</v>
      </c>
      <c r="AC483" t="str">
        <f t="shared" si="270"/>
        <v>MP</v>
      </c>
      <c r="AD483" t="str">
        <f t="shared" si="265"/>
        <v>96950</v>
      </c>
      <c r="AE483" t="str">
        <f t="shared" si="261"/>
        <v>UNITED STATES OF AMERICA</v>
      </c>
      <c r="AF483" t="str">
        <f>""</f>
        <v/>
      </c>
      <c r="AG483" s="4" t="str">
        <f>"16702358885"</f>
        <v>16702358885</v>
      </c>
      <c r="AH483" t="str">
        <f>""</f>
        <v/>
      </c>
      <c r="AI483" t="str">
        <f>"541618"</f>
        <v>541618</v>
      </c>
      <c r="AJ483" t="s">
        <v>79</v>
      </c>
      <c r="AK483" t="s">
        <v>79</v>
      </c>
      <c r="AL483" t="s">
        <v>80</v>
      </c>
      <c r="AM483" t="s">
        <v>79</v>
      </c>
      <c r="AP483" t="str">
        <f>"BUSINESS CONSULTING MANAGER"</f>
        <v>BUSINESS CONSULTING MANAGER</v>
      </c>
      <c r="AQ483" t="str">
        <f>"11-9199.00"</f>
        <v>11-9199.00</v>
      </c>
      <c r="AR483" t="str">
        <f>"Managers, All Other"</f>
        <v>Managers, All Other</v>
      </c>
      <c r="AS483" t="str">
        <f>"N/A"</f>
        <v>N/A</v>
      </c>
      <c r="AT483" t="s">
        <v>79</v>
      </c>
      <c r="AU483" t="str">
        <f>""</f>
        <v/>
      </c>
      <c r="AV483" t="str">
        <f>""</f>
        <v/>
      </c>
      <c r="AW483" t="s">
        <v>79</v>
      </c>
      <c r="AX483" t="str">
        <f>""</f>
        <v/>
      </c>
      <c r="AY483" t="s">
        <v>95</v>
      </c>
      <c r="BA483" t="s">
        <v>305</v>
      </c>
      <c r="BB483" t="s">
        <v>79</v>
      </c>
      <c r="BD483" t="s">
        <v>79</v>
      </c>
      <c r="BG483" t="s">
        <v>82</v>
      </c>
      <c r="BH483">
        <v>48</v>
      </c>
      <c r="BI483" t="s">
        <v>306</v>
      </c>
      <c r="BJ483" t="s">
        <v>307</v>
      </c>
      <c r="BK483" t="str">
        <f>"KAPUTAT DR., SAN VICENTE "</f>
        <v xml:space="preserve">KAPUTAT DR., SAN VICENTE </v>
      </c>
      <c r="BL483" t="str">
        <f>"PMB 208 BOX 10000"</f>
        <v>PMB 208 BOX 10000</v>
      </c>
      <c r="BM483" t="str">
        <f>"SAIPAN"</f>
        <v>SAIPAN</v>
      </c>
      <c r="BO483" t="s">
        <v>83</v>
      </c>
      <c r="BP483" s="4" t="str">
        <f t="shared" si="266"/>
        <v>96950</v>
      </c>
      <c r="BQ483" t="s">
        <v>79</v>
      </c>
      <c r="BR483" t="str">
        <f>"11-1021.00"</f>
        <v>11-1021.00</v>
      </c>
      <c r="BS483" t="s">
        <v>244</v>
      </c>
      <c r="BT483" s="3">
        <v>20.83</v>
      </c>
      <c r="BU483" t="s">
        <v>80</v>
      </c>
      <c r="BV483" t="s">
        <v>90</v>
      </c>
      <c r="BW483" t="s">
        <v>92</v>
      </c>
      <c r="BZ483" s="1">
        <v>45107</v>
      </c>
    </row>
    <row r="484" spans="1:78" ht="15" customHeight="1" x14ac:dyDescent="0.25">
      <c r="A484" t="s">
        <v>283</v>
      </c>
      <c r="B484" t="s">
        <v>94</v>
      </c>
      <c r="C484" s="1">
        <v>44803</v>
      </c>
      <c r="D484" s="1">
        <v>44845</v>
      </c>
      <c r="H484" t="s">
        <v>78</v>
      </c>
      <c r="I484" t="str">
        <f>"DIONESIO"</f>
        <v>DIONESIO</v>
      </c>
      <c r="J484" t="str">
        <f>"JOSELINE"</f>
        <v>JOSELINE</v>
      </c>
      <c r="K484" t="str">
        <f>"O"</f>
        <v>O</v>
      </c>
      <c r="L484" t="str">
        <f>"GENERAL MANAGER"</f>
        <v>GENERAL MANAGER</v>
      </c>
      <c r="M484" t="str">
        <f>"SINAPALO VILLAGE"</f>
        <v>SINAPALO VILLAGE</v>
      </c>
      <c r="N484" t="str">
        <f>""</f>
        <v/>
      </c>
      <c r="O484" t="str">
        <f>"ROTA"</f>
        <v>ROTA</v>
      </c>
      <c r="P484" t="str">
        <f>"MP"</f>
        <v>MP</v>
      </c>
      <c r="Q484" s="4" t="str">
        <f>"96951"</f>
        <v>96951</v>
      </c>
      <c r="R484" t="str">
        <f t="shared" si="263"/>
        <v>UNITED STATES OF AMERICA</v>
      </c>
      <c r="S484" t="str">
        <f>""</f>
        <v/>
      </c>
      <c r="T484" s="5" t="str">
        <f>"16705321470"</f>
        <v>16705321470</v>
      </c>
      <c r="U484" t="str">
        <f>""</f>
        <v/>
      </c>
      <c r="V484" s="5" t="str">
        <f>""</f>
        <v/>
      </c>
      <c r="W484" t="str">
        <f>"tmripley1127@gmail.com"</f>
        <v>tmripley1127@gmail.com</v>
      </c>
      <c r="X484" t="str">
        <f>"JOSELINE DIONESIO"</f>
        <v>JOSELINE DIONESIO</v>
      </c>
      <c r="Y484" t="str">
        <f>"EJ'S DAY CARE"</f>
        <v>EJ'S DAY CARE</v>
      </c>
      <c r="Z484" t="str">
        <f>"SINAPALO VILLAGE"</f>
        <v>SINAPALO VILLAGE</v>
      </c>
      <c r="AA484" t="str">
        <f>""</f>
        <v/>
      </c>
      <c r="AB484" t="str">
        <f>"ROTA"</f>
        <v>ROTA</v>
      </c>
      <c r="AC484" t="str">
        <f t="shared" si="270"/>
        <v>MP</v>
      </c>
      <c r="AD484" t="str">
        <f>"96951"</f>
        <v>96951</v>
      </c>
      <c r="AE484" t="str">
        <f t="shared" si="261"/>
        <v>UNITED STATES OF AMERICA</v>
      </c>
      <c r="AF484" t="str">
        <f>""</f>
        <v/>
      </c>
      <c r="AG484" s="4" t="str">
        <f>"16705321470"</f>
        <v>16705321470</v>
      </c>
      <c r="AH484" t="str">
        <f>""</f>
        <v/>
      </c>
      <c r="AI484" t="str">
        <f>"62441"</f>
        <v>62441</v>
      </c>
      <c r="AJ484" t="s">
        <v>79</v>
      </c>
      <c r="AK484" t="s">
        <v>79</v>
      </c>
      <c r="AL484" t="s">
        <v>80</v>
      </c>
      <c r="AM484" t="s">
        <v>79</v>
      </c>
      <c r="AP484" t="str">
        <f>"DAY CARE COOK"</f>
        <v>DAY CARE COOK</v>
      </c>
      <c r="AQ484" t="str">
        <f>"35-2013.00"</f>
        <v>35-2013.00</v>
      </c>
      <c r="AR484" t="str">
        <f>"Cooks, Private Household"</f>
        <v>Cooks, Private Household</v>
      </c>
      <c r="AS484" t="str">
        <f>"GENERAL MANAGER"</f>
        <v>GENERAL MANAGER</v>
      </c>
      <c r="AT484" t="s">
        <v>79</v>
      </c>
      <c r="AU484" t="str">
        <f>""</f>
        <v/>
      </c>
      <c r="AV484" t="str">
        <f>""</f>
        <v/>
      </c>
      <c r="AW484" t="s">
        <v>79</v>
      </c>
      <c r="AX484" t="str">
        <f>""</f>
        <v/>
      </c>
      <c r="AY484" t="s">
        <v>84</v>
      </c>
      <c r="BA484" t="s">
        <v>80</v>
      </c>
      <c r="BB484" t="s">
        <v>79</v>
      </c>
      <c r="BD484" t="s">
        <v>82</v>
      </c>
      <c r="BE484">
        <v>12</v>
      </c>
      <c r="BF484" t="s">
        <v>284</v>
      </c>
      <c r="BG484" t="s">
        <v>82</v>
      </c>
      <c r="BH484">
        <v>12</v>
      </c>
      <c r="BI484" t="s">
        <v>285</v>
      </c>
      <c r="BJ484" t="s">
        <v>286</v>
      </c>
      <c r="BK484" t="str">
        <f>"SINAPALO VILLAGE"</f>
        <v>SINAPALO VILLAGE</v>
      </c>
      <c r="BL484" t="str">
        <f>""</f>
        <v/>
      </c>
      <c r="BM484" t="str">
        <f>"ROTA"</f>
        <v>ROTA</v>
      </c>
      <c r="BO484" t="s">
        <v>83</v>
      </c>
      <c r="BP484" s="4" t="str">
        <f>"96951"</f>
        <v>96951</v>
      </c>
      <c r="BQ484" t="s">
        <v>79</v>
      </c>
      <c r="BR484" t="str">
        <f>"35-2012.00"</f>
        <v>35-2012.00</v>
      </c>
      <c r="BS484" t="s">
        <v>287</v>
      </c>
      <c r="BT484" s="3">
        <v>8.76</v>
      </c>
      <c r="BU484" t="s">
        <v>80</v>
      </c>
      <c r="BV484" t="s">
        <v>90</v>
      </c>
      <c r="BW484" t="s">
        <v>92</v>
      </c>
      <c r="BZ484" s="1">
        <v>45107</v>
      </c>
    </row>
    <row r="485" spans="1:78" ht="15" customHeight="1" x14ac:dyDescent="0.25">
      <c r="A485" t="s">
        <v>288</v>
      </c>
      <c r="B485" t="s">
        <v>94</v>
      </c>
      <c r="C485" s="1">
        <v>44803</v>
      </c>
      <c r="D485" s="1">
        <v>44845</v>
      </c>
      <c r="H485" t="s">
        <v>78</v>
      </c>
      <c r="I485" t="str">
        <f>"TORRES"</f>
        <v>TORRES</v>
      </c>
      <c r="J485" t="str">
        <f>"JOSEPH"</f>
        <v>JOSEPH</v>
      </c>
      <c r="K485" t="str">
        <f>"TENORIO"</f>
        <v>TENORIO</v>
      </c>
      <c r="L485" t="str">
        <f>"PRESIDENT &amp; GENERAL MANAGER"</f>
        <v>PRESIDENT &amp; GENERAL MANAGER</v>
      </c>
      <c r="M485" t="str">
        <f>"COMMERCE PL, AIRPORT ROAD, SAN VICENTE VILLAGE"</f>
        <v>COMMERCE PL, AIRPORT ROAD, SAN VICENTE VILLAGE</v>
      </c>
      <c r="N485" t="str">
        <f>"PO BOX 500714 CK"</f>
        <v>PO BOX 500714 CK</v>
      </c>
      <c r="O485" t="str">
        <f>"SAIPAN"</f>
        <v>SAIPAN</v>
      </c>
      <c r="P485" t="str">
        <f>"MP"</f>
        <v>MP</v>
      </c>
      <c r="Q485" s="4" t="str">
        <f>"96950"</f>
        <v>96950</v>
      </c>
      <c r="R485" t="str">
        <f t="shared" si="263"/>
        <v>UNITED STATES OF AMERICA</v>
      </c>
      <c r="S485" t="str">
        <f>""</f>
        <v/>
      </c>
      <c r="T485" s="5" t="str">
        <f>"16702351662"</f>
        <v>16702351662</v>
      </c>
      <c r="U485" t="str">
        <f>""</f>
        <v/>
      </c>
      <c r="V485" s="5" t="str">
        <f>""</f>
        <v/>
      </c>
      <c r="W485" t="str">
        <f>"jttorres@pticom.com"</f>
        <v>jttorres@pticom.com</v>
      </c>
      <c r="X485" t="str">
        <f>"TORRES REFRIGERATION, INC."</f>
        <v>TORRES REFRIGERATION, INC.</v>
      </c>
      <c r="Y485" t="str">
        <f>""</f>
        <v/>
      </c>
      <c r="Z485" t="str">
        <f>"COMMERCE PL., AIRPORT ROAD, SAN VICENTE VILLAGE, SAIPAN, MP "</f>
        <v xml:space="preserve">COMMERCE PL., AIRPORT ROAD, SAN VICENTE VILLAGE, SAIPAN, MP </v>
      </c>
      <c r="AA485" t="str">
        <f>"PO BOX 500714 CK"</f>
        <v>PO BOX 500714 CK</v>
      </c>
      <c r="AB485" t="str">
        <f>"SAIPAN"</f>
        <v>SAIPAN</v>
      </c>
      <c r="AC485" t="str">
        <f t="shared" si="270"/>
        <v>MP</v>
      </c>
      <c r="AD485" t="str">
        <f>"96950"</f>
        <v>96950</v>
      </c>
      <c r="AE485" t="str">
        <f t="shared" si="261"/>
        <v>UNITED STATES OF AMERICA</v>
      </c>
      <c r="AF485" t="str">
        <f>""</f>
        <v/>
      </c>
      <c r="AG485" s="4" t="str">
        <f>"16702351662"</f>
        <v>16702351662</v>
      </c>
      <c r="AH485" t="str">
        <f>""</f>
        <v/>
      </c>
      <c r="AI485" t="str">
        <f>"811412"</f>
        <v>811412</v>
      </c>
      <c r="AJ485" t="s">
        <v>79</v>
      </c>
      <c r="AK485" t="s">
        <v>79</v>
      </c>
      <c r="AL485" t="s">
        <v>80</v>
      </c>
      <c r="AM485" t="s">
        <v>79</v>
      </c>
      <c r="AP485" t="str">
        <f>"Automotive Service Technician and Mechanic"</f>
        <v>Automotive Service Technician and Mechanic</v>
      </c>
      <c r="AQ485" t="str">
        <f>"49-3023.00"</f>
        <v>49-3023.00</v>
      </c>
      <c r="AR485" t="str">
        <f>"Automotive Service Technicians and Mechanics"</f>
        <v>Automotive Service Technicians and Mechanics</v>
      </c>
      <c r="AS485" t="str">
        <f>"GENERAL MANAGER"</f>
        <v>GENERAL MANAGER</v>
      </c>
      <c r="AT485" t="s">
        <v>79</v>
      </c>
      <c r="AU485" t="str">
        <f>""</f>
        <v/>
      </c>
      <c r="AV485" t="str">
        <f>""</f>
        <v/>
      </c>
      <c r="AW485" t="s">
        <v>79</v>
      </c>
      <c r="AX485" t="str">
        <f>""</f>
        <v/>
      </c>
      <c r="AY485" t="s">
        <v>84</v>
      </c>
      <c r="BA485" t="s">
        <v>80</v>
      </c>
      <c r="BB485" t="s">
        <v>79</v>
      </c>
      <c r="BD485" t="s">
        <v>79</v>
      </c>
      <c r="BG485" t="s">
        <v>82</v>
      </c>
      <c r="BH485">
        <v>12</v>
      </c>
      <c r="BI485" t="s">
        <v>267</v>
      </c>
      <c r="BJ485" s="2" t="s">
        <v>289</v>
      </c>
      <c r="BK485" t="str">
        <f>"COMMERCE PL, AIRPORT ROAD, SAN VICENTE VILLAGE"</f>
        <v>COMMERCE PL, AIRPORT ROAD, SAN VICENTE VILLAGE</v>
      </c>
      <c r="BL485" t="str">
        <f>"PO BOX 500714 CK"</f>
        <v>PO BOX 500714 CK</v>
      </c>
      <c r="BM485" t="str">
        <f>"SAIPAN"</f>
        <v>SAIPAN</v>
      </c>
      <c r="BO485" t="s">
        <v>83</v>
      </c>
      <c r="BP485" s="4" t="str">
        <f>"96950"</f>
        <v>96950</v>
      </c>
      <c r="BQ485" t="s">
        <v>79</v>
      </c>
      <c r="BR485" t="str">
        <f>"49-3023.00"</f>
        <v>49-3023.00</v>
      </c>
      <c r="BS485" t="s">
        <v>269</v>
      </c>
      <c r="BT485" s="3">
        <v>9.93</v>
      </c>
      <c r="BU485" t="s">
        <v>80</v>
      </c>
      <c r="BV485" t="s">
        <v>90</v>
      </c>
      <c r="BW485" t="s">
        <v>92</v>
      </c>
      <c r="BZ485" s="1">
        <v>45107</v>
      </c>
    </row>
    <row r="486" spans="1:78" ht="15" customHeight="1" x14ac:dyDescent="0.25">
      <c r="A486" t="s">
        <v>290</v>
      </c>
      <c r="B486" t="s">
        <v>94</v>
      </c>
      <c r="C486" s="1">
        <v>44803</v>
      </c>
      <c r="D486" s="1">
        <v>44845</v>
      </c>
      <c r="H486" t="s">
        <v>78</v>
      </c>
      <c r="I486" t="str">
        <f>"CRUZ"</f>
        <v>CRUZ</v>
      </c>
      <c r="J486" t="str">
        <f>"MARIA THERESA"</f>
        <v>MARIA THERESA</v>
      </c>
      <c r="K486" t="str">
        <f>"V"</f>
        <v>V</v>
      </c>
      <c r="L486" t="str">
        <f>"GENERAL MANAGER"</f>
        <v>GENERAL MANAGER</v>
      </c>
      <c r="M486" t="str">
        <f>"P O BOX 502305"</f>
        <v>P O BOX 502305</v>
      </c>
      <c r="N486" t="str">
        <f>"104 MANGO CITY"</f>
        <v>104 MANGO CITY</v>
      </c>
      <c r="O486" t="str">
        <f>"SAIPAN"</f>
        <v>SAIPAN</v>
      </c>
      <c r="P486" t="str">
        <f>"NA"</f>
        <v>NA</v>
      </c>
      <c r="Q486" s="4" t="str">
        <f>"96950"</f>
        <v>96950</v>
      </c>
      <c r="R486" t="str">
        <f>"PHILIPPINES"</f>
        <v>PHILIPPINES</v>
      </c>
      <c r="S486" t="str">
        <f>""</f>
        <v/>
      </c>
      <c r="T486" s="5" t="str">
        <f>"16702337461"</f>
        <v>16702337461</v>
      </c>
      <c r="U486" t="str">
        <f>""</f>
        <v/>
      </c>
      <c r="V486" s="5" t="str">
        <f>""</f>
        <v/>
      </c>
      <c r="W486" t="str">
        <f>"matheresacrz@yahoo.com"</f>
        <v>matheresacrz@yahoo.com</v>
      </c>
      <c r="X486" t="str">
        <f>"MARIA THERESA CRUZ"</f>
        <v>MARIA THERESA CRUZ</v>
      </c>
      <c r="Y486" t="str">
        <f>"JJ&amp;K COMPANY"</f>
        <v>JJ&amp;K COMPANY</v>
      </c>
      <c r="Z486" t="str">
        <f>"P O BOX 502305"</f>
        <v>P O BOX 502305</v>
      </c>
      <c r="AA486" t="str">
        <f>"104 MANGO CITY"</f>
        <v>104 MANGO CITY</v>
      </c>
      <c r="AB486" t="str">
        <f>"SAIPAN"</f>
        <v>SAIPAN</v>
      </c>
      <c r="AC486" t="str">
        <f t="shared" si="270"/>
        <v>MP</v>
      </c>
      <c r="AD486" t="str">
        <f>"96950"</f>
        <v>96950</v>
      </c>
      <c r="AE486" t="str">
        <f>"PHILIPPINES"</f>
        <v>PHILIPPINES</v>
      </c>
      <c r="AF486" t="str">
        <f>""</f>
        <v/>
      </c>
      <c r="AG486" s="4" t="str">
        <f>"16702337461"</f>
        <v>16702337461</v>
      </c>
      <c r="AH486" t="str">
        <f>""</f>
        <v/>
      </c>
      <c r="AI486" t="str">
        <f>"561320"</f>
        <v>561320</v>
      </c>
      <c r="AJ486" t="s">
        <v>79</v>
      </c>
      <c r="AK486" t="s">
        <v>79</v>
      </c>
      <c r="AL486" t="s">
        <v>80</v>
      </c>
      <c r="AM486" t="s">
        <v>79</v>
      </c>
      <c r="AP486" t="str">
        <f>"COOK"</f>
        <v>COOK</v>
      </c>
      <c r="AQ486" t="str">
        <f>"35-2014.00"</f>
        <v>35-2014.00</v>
      </c>
      <c r="AR486" t="str">
        <f>"Cooks, Restaurant"</f>
        <v>Cooks, Restaurant</v>
      </c>
      <c r="AS486" t="str">
        <f>"COOK SUPERVISOR"</f>
        <v>COOK SUPERVISOR</v>
      </c>
      <c r="AT486" t="s">
        <v>79</v>
      </c>
      <c r="AU486" t="str">
        <f>""</f>
        <v/>
      </c>
      <c r="AV486" t="str">
        <f>""</f>
        <v/>
      </c>
      <c r="AW486" t="s">
        <v>79</v>
      </c>
      <c r="AX486" t="str">
        <f>""</f>
        <v/>
      </c>
      <c r="AY486" t="s">
        <v>84</v>
      </c>
      <c r="BA486" t="s">
        <v>115</v>
      </c>
      <c r="BB486" t="s">
        <v>79</v>
      </c>
      <c r="BD486" t="s">
        <v>79</v>
      </c>
      <c r="BG486" t="s">
        <v>82</v>
      </c>
      <c r="BH486">
        <v>12</v>
      </c>
      <c r="BI486" t="s">
        <v>285</v>
      </c>
      <c r="BJ486" t="s">
        <v>291</v>
      </c>
      <c r="BK486" t="str">
        <f>"P O BOX 502305"</f>
        <v>P O BOX 502305</v>
      </c>
      <c r="BL486" t="str">
        <f>"104 MANGO CITY"</f>
        <v>104 MANGO CITY</v>
      </c>
      <c r="BM486" t="str">
        <f>"SAIPAN"</f>
        <v>SAIPAN</v>
      </c>
      <c r="BO486" t="s">
        <v>83</v>
      </c>
      <c r="BP486" s="4" t="str">
        <f>"96950"</f>
        <v>96950</v>
      </c>
      <c r="BQ486" t="s">
        <v>79</v>
      </c>
      <c r="BR486" t="str">
        <f>"35-2014.00"</f>
        <v>35-2014.00</v>
      </c>
      <c r="BS486" t="s">
        <v>117</v>
      </c>
      <c r="BT486" s="3">
        <v>8.5500000000000007</v>
      </c>
      <c r="BU486" t="s">
        <v>80</v>
      </c>
      <c r="BV486" t="s">
        <v>90</v>
      </c>
      <c r="BW486" t="s">
        <v>92</v>
      </c>
      <c r="BZ486" s="1">
        <v>45107</v>
      </c>
    </row>
    <row r="487" spans="1:78" ht="15" customHeight="1" x14ac:dyDescent="0.25">
      <c r="A487" t="s">
        <v>292</v>
      </c>
      <c r="B487" t="s">
        <v>94</v>
      </c>
      <c r="C487" s="1">
        <v>44803</v>
      </c>
      <c r="D487" s="1">
        <v>44845</v>
      </c>
      <c r="H487" t="s">
        <v>78</v>
      </c>
      <c r="I487" t="str">
        <f>"Deleon Guerrero"</f>
        <v>Deleon Guerrero</v>
      </c>
      <c r="J487" t="str">
        <f>"Ni"</f>
        <v>Ni</v>
      </c>
      <c r="K487" t="str">
        <f>"Nie"</f>
        <v>Nie</v>
      </c>
      <c r="L487" t="str">
        <f>"General Manager"</f>
        <v>General Manager</v>
      </c>
      <c r="M487" t="str">
        <f>"PMB 145 PO Box 10003"</f>
        <v>PMB 145 PO Box 10003</v>
      </c>
      <c r="N487" t="str">
        <f>""</f>
        <v/>
      </c>
      <c r="O487" t="str">
        <f>"Saipan"</f>
        <v>Saipan</v>
      </c>
      <c r="P487" t="str">
        <f t="shared" ref="P487:P501" si="271">"MP"</f>
        <v>MP</v>
      </c>
      <c r="Q487" s="4" t="str">
        <f>"96950"</f>
        <v>96950</v>
      </c>
      <c r="R487" t="str">
        <f t="shared" ref="R487:R501" si="272">"UNITED STATES OF AMERICA"</f>
        <v>UNITED STATES OF AMERICA</v>
      </c>
      <c r="S487" t="str">
        <f>""</f>
        <v/>
      </c>
      <c r="T487" s="5" t="str">
        <f>"16702343926"</f>
        <v>16702343926</v>
      </c>
      <c r="U487" t="str">
        <f>"103"</f>
        <v>103</v>
      </c>
      <c r="V487" s="5" t="str">
        <f>""</f>
        <v/>
      </c>
      <c r="W487" t="str">
        <f>"nidlg78@gmail.com"</f>
        <v>nidlg78@gmail.com</v>
      </c>
      <c r="X487" t="str">
        <f>"MMC &amp; Pacific Labs, LLC"</f>
        <v>MMC &amp; Pacific Labs, LLC</v>
      </c>
      <c r="Y487" t="str">
        <f>""</f>
        <v/>
      </c>
      <c r="Z487" t="str">
        <f>"PMB 145 PO Box 10003"</f>
        <v>PMB 145 PO Box 10003</v>
      </c>
      <c r="AA487" t="str">
        <f>""</f>
        <v/>
      </c>
      <c r="AB487" t="str">
        <f>"Saipan"</f>
        <v>Saipan</v>
      </c>
      <c r="AC487" t="str">
        <f t="shared" si="270"/>
        <v>MP</v>
      </c>
      <c r="AD487" t="str">
        <f>"96950"</f>
        <v>96950</v>
      </c>
      <c r="AE487" t="str">
        <f t="shared" ref="AE487:AE518" si="273">"UNITED STATES OF AMERICA"</f>
        <v>UNITED STATES OF AMERICA</v>
      </c>
      <c r="AF487" t="str">
        <f>""</f>
        <v/>
      </c>
      <c r="AG487" s="4" t="str">
        <f>"16702343926"</f>
        <v>16702343926</v>
      </c>
      <c r="AH487" t="str">
        <f>"103"</f>
        <v>103</v>
      </c>
      <c r="AI487" t="str">
        <f>"62151"</f>
        <v>62151</v>
      </c>
      <c r="AJ487" t="s">
        <v>79</v>
      </c>
      <c r="AK487" t="s">
        <v>79</v>
      </c>
      <c r="AL487" t="s">
        <v>80</v>
      </c>
      <c r="AM487" t="s">
        <v>79</v>
      </c>
      <c r="AP487" t="str">
        <f>"Maintenance &amp; Repair Workers, General"</f>
        <v>Maintenance &amp; Repair Workers, General</v>
      </c>
      <c r="AQ487" t="str">
        <f>"49-9071.00"</f>
        <v>49-9071.00</v>
      </c>
      <c r="AR487" t="str">
        <f>"Maintenance and Repair Workers, General"</f>
        <v>Maintenance and Repair Workers, General</v>
      </c>
      <c r="AS487" t="str">
        <f>"General Manager"</f>
        <v>General Manager</v>
      </c>
      <c r="AT487" t="s">
        <v>79</v>
      </c>
      <c r="AU487" t="str">
        <f>""</f>
        <v/>
      </c>
      <c r="AV487" t="str">
        <f>""</f>
        <v/>
      </c>
      <c r="AW487" t="s">
        <v>79</v>
      </c>
      <c r="AX487" t="str">
        <f>""</f>
        <v/>
      </c>
      <c r="AY487" t="s">
        <v>84</v>
      </c>
      <c r="BA487" t="s">
        <v>119</v>
      </c>
      <c r="BB487" t="s">
        <v>79</v>
      </c>
      <c r="BD487" t="s">
        <v>79</v>
      </c>
      <c r="BG487" t="s">
        <v>82</v>
      </c>
      <c r="BH487">
        <v>12</v>
      </c>
      <c r="BI487" t="s">
        <v>251</v>
      </c>
      <c r="BJ487" t="s">
        <v>293</v>
      </c>
      <c r="BK487" t="str">
        <f>"JKR Building"</f>
        <v>JKR Building</v>
      </c>
      <c r="BL487" t="str">
        <f>"Beach Road"</f>
        <v>Beach Road</v>
      </c>
      <c r="BM487" t="str">
        <f>"Garapan"</f>
        <v>Garapan</v>
      </c>
      <c r="BO487" t="s">
        <v>83</v>
      </c>
      <c r="BP487" s="4" t="str">
        <f>"96950"</f>
        <v>96950</v>
      </c>
      <c r="BQ487" t="s">
        <v>79</v>
      </c>
      <c r="BR487" t="str">
        <f>"49-9071.00"</f>
        <v>49-9071.00</v>
      </c>
      <c r="BS487" t="s">
        <v>146</v>
      </c>
      <c r="BT487" s="3">
        <v>9.19</v>
      </c>
      <c r="BU487" t="s">
        <v>80</v>
      </c>
      <c r="BV487" t="s">
        <v>90</v>
      </c>
      <c r="BW487" t="s">
        <v>92</v>
      </c>
      <c r="BZ487" s="1">
        <v>45107</v>
      </c>
    </row>
    <row r="488" spans="1:78" ht="15" customHeight="1" x14ac:dyDescent="0.25">
      <c r="A488" t="s">
        <v>294</v>
      </c>
      <c r="B488" t="s">
        <v>94</v>
      </c>
      <c r="C488" s="1">
        <v>44803</v>
      </c>
      <c r="D488" s="1">
        <v>44845</v>
      </c>
      <c r="H488" t="s">
        <v>78</v>
      </c>
      <c r="I488" t="str">
        <f>"Calvo"</f>
        <v>Calvo</v>
      </c>
      <c r="J488" t="str">
        <f>"David"</f>
        <v>David</v>
      </c>
      <c r="K488" t="str">
        <f>"Mendiola"</f>
        <v>Mendiola</v>
      </c>
      <c r="L488" t="str">
        <f>"Vice President / Operations Manager"</f>
        <v>Vice President / Operations Manager</v>
      </c>
      <c r="M488" t="str">
        <f>"Carlos Songsong Calvo Highway"</f>
        <v>Carlos Songsong Calvo Highway</v>
      </c>
      <c r="N488" t="str">
        <f>"Songsong Village"</f>
        <v>Songsong Village</v>
      </c>
      <c r="O488" t="str">
        <f>"Rota"</f>
        <v>Rota</v>
      </c>
      <c r="P488" t="str">
        <f t="shared" si="271"/>
        <v>MP</v>
      </c>
      <c r="Q488" s="4" t="str">
        <f>"96951"</f>
        <v>96951</v>
      </c>
      <c r="R488" t="str">
        <f t="shared" si="272"/>
        <v>UNITED STATES OF AMERICA</v>
      </c>
      <c r="S488" t="str">
        <f>""</f>
        <v/>
      </c>
      <c r="T488" s="5" t="str">
        <f>"16702853262"</f>
        <v>16702853262</v>
      </c>
      <c r="U488" t="str">
        <f>""</f>
        <v/>
      </c>
      <c r="V488" s="5" t="str">
        <f>""</f>
        <v/>
      </c>
      <c r="W488" t="str">
        <f>"sasanhaya@gmail.com"</f>
        <v>sasanhaya@gmail.com</v>
      </c>
      <c r="X488" t="str">
        <f>"Calvo Enterprises, Incorporated"</f>
        <v>Calvo Enterprises, Incorporated</v>
      </c>
      <c r="Y488" t="str">
        <f>"Sasanhaya Service Station / Mobil Mart / Calvo Office Space Rental"</f>
        <v>Sasanhaya Service Station / Mobil Mart / Calvo Office Space Rental</v>
      </c>
      <c r="Z488" t="str">
        <f>"Carlos Songsong Calvo Highway"</f>
        <v>Carlos Songsong Calvo Highway</v>
      </c>
      <c r="AA488" t="str">
        <f>"Songsong Village"</f>
        <v>Songsong Village</v>
      </c>
      <c r="AB488" t="str">
        <f>"Rota"</f>
        <v>Rota</v>
      </c>
      <c r="AC488" t="str">
        <f t="shared" si="270"/>
        <v>MP</v>
      </c>
      <c r="AD488" t="str">
        <f>"96951"</f>
        <v>96951</v>
      </c>
      <c r="AE488" t="str">
        <f t="shared" si="273"/>
        <v>UNITED STATES OF AMERICA</v>
      </c>
      <c r="AF488" t="str">
        <f>""</f>
        <v/>
      </c>
      <c r="AG488" s="4" t="str">
        <f>"16705323394"</f>
        <v>16705323394</v>
      </c>
      <c r="AH488" t="str">
        <f>""</f>
        <v/>
      </c>
      <c r="AI488" t="str">
        <f>"447110"</f>
        <v>447110</v>
      </c>
      <c r="AJ488" t="s">
        <v>79</v>
      </c>
      <c r="AK488" t="s">
        <v>79</v>
      </c>
      <c r="AL488" t="s">
        <v>80</v>
      </c>
      <c r="AM488" t="s">
        <v>79</v>
      </c>
      <c r="AP488" t="str">
        <f>"Refrigeration Technician"</f>
        <v>Refrigeration Technician</v>
      </c>
      <c r="AQ488" t="str">
        <f>"49-9021.00"</f>
        <v>49-9021.00</v>
      </c>
      <c r="AR488" t="str">
        <f>"Heating, Air Conditioning, and Refrigeration Mechanics and Installers"</f>
        <v>Heating, Air Conditioning, and Refrigeration Mechanics and Installers</v>
      </c>
      <c r="AS488" t="str">
        <f>"Operations Manager"</f>
        <v>Operations Manager</v>
      </c>
      <c r="AT488" t="s">
        <v>79</v>
      </c>
      <c r="AU488" t="str">
        <f>""</f>
        <v/>
      </c>
      <c r="AV488" t="str">
        <f>""</f>
        <v/>
      </c>
      <c r="AW488" t="s">
        <v>79</v>
      </c>
      <c r="AX488" t="str">
        <f>""</f>
        <v/>
      </c>
      <c r="AY488" t="s">
        <v>84</v>
      </c>
      <c r="BA488" t="s">
        <v>80</v>
      </c>
      <c r="BB488" t="s">
        <v>79</v>
      </c>
      <c r="BD488" t="s">
        <v>79</v>
      </c>
      <c r="BG488" t="s">
        <v>82</v>
      </c>
      <c r="BH488">
        <v>24</v>
      </c>
      <c r="BI488" t="s">
        <v>295</v>
      </c>
      <c r="BJ488" s="2" t="s">
        <v>296</v>
      </c>
      <c r="BK488" t="str">
        <f>"Carlos Songsong Calvo Highway"</f>
        <v>Carlos Songsong Calvo Highway</v>
      </c>
      <c r="BL488" t="str">
        <f>"Songsong Village"</f>
        <v>Songsong Village</v>
      </c>
      <c r="BM488" t="str">
        <f>"Rota"</f>
        <v>Rota</v>
      </c>
      <c r="BO488" t="s">
        <v>83</v>
      </c>
      <c r="BP488" s="4" t="str">
        <f>"96951"</f>
        <v>96951</v>
      </c>
      <c r="BQ488" t="s">
        <v>79</v>
      </c>
      <c r="BR488" t="str">
        <f>"49-9021.00"</f>
        <v>49-9021.00</v>
      </c>
      <c r="BS488" t="s">
        <v>177</v>
      </c>
      <c r="BT488" s="3">
        <v>9.6999999999999993</v>
      </c>
      <c r="BU488" t="s">
        <v>80</v>
      </c>
      <c r="BV488" t="s">
        <v>90</v>
      </c>
      <c r="BW488" t="s">
        <v>92</v>
      </c>
      <c r="BZ488" s="1">
        <v>45107</v>
      </c>
    </row>
    <row r="489" spans="1:78" ht="15" customHeight="1" x14ac:dyDescent="0.25">
      <c r="A489" t="s">
        <v>270</v>
      </c>
      <c r="B489" t="s">
        <v>94</v>
      </c>
      <c r="C489" s="1">
        <v>44802</v>
      </c>
      <c r="D489" s="1">
        <v>44845</v>
      </c>
      <c r="H489" t="s">
        <v>78</v>
      </c>
      <c r="I489" t="str">
        <f>"Sablan"</f>
        <v>Sablan</v>
      </c>
      <c r="J489" t="str">
        <f>"April"</f>
        <v>April</v>
      </c>
      <c r="K489" t="str">
        <f>"Jambalos"</f>
        <v>Jambalos</v>
      </c>
      <c r="L489" t="str">
        <f>"Managing Consultant / Human Resources Coordinator"</f>
        <v>Managing Consultant / Human Resources Coordinator</v>
      </c>
      <c r="M489" t="str">
        <f>"Roong Ln#1 San Jose"</f>
        <v>Roong Ln#1 San Jose</v>
      </c>
      <c r="N489" t="str">
        <f>""</f>
        <v/>
      </c>
      <c r="O489" t="str">
        <f>"Saipan"</f>
        <v>Saipan</v>
      </c>
      <c r="P489" t="str">
        <f t="shared" si="271"/>
        <v>MP</v>
      </c>
      <c r="Q489" s="4" t="str">
        <f>"96950"</f>
        <v>96950</v>
      </c>
      <c r="R489" t="str">
        <f t="shared" si="272"/>
        <v>UNITED STATES OF AMERICA</v>
      </c>
      <c r="S489" t="str">
        <f>"N/A"</f>
        <v>N/A</v>
      </c>
      <c r="T489" s="5" t="str">
        <f>"16704834587"</f>
        <v>16704834587</v>
      </c>
      <c r="U489" t="str">
        <f>""</f>
        <v/>
      </c>
      <c r="V489" s="5" t="str">
        <f>""</f>
        <v/>
      </c>
      <c r="W489" t="str">
        <f>"office@marianassecurity.com"</f>
        <v>office@marianassecurity.com</v>
      </c>
      <c r="X489" t="str">
        <f>"Marianas Security Corporation"</f>
        <v>Marianas Security Corporation</v>
      </c>
      <c r="Y489" t="str">
        <f>"N/A"</f>
        <v>N/A</v>
      </c>
      <c r="Z489" t="str">
        <f>"P.O. Box 500438 "</f>
        <v xml:space="preserve">P.O. Box 500438 </v>
      </c>
      <c r="AA489" t="str">
        <f>""</f>
        <v/>
      </c>
      <c r="AB489" t="str">
        <f>"Saipan"</f>
        <v>Saipan</v>
      </c>
      <c r="AC489" t="str">
        <f t="shared" si="270"/>
        <v>MP</v>
      </c>
      <c r="AD489" t="str">
        <f>"96950"</f>
        <v>96950</v>
      </c>
      <c r="AE489" t="str">
        <f t="shared" si="273"/>
        <v>UNITED STATES OF AMERICA</v>
      </c>
      <c r="AF489" t="str">
        <f>""</f>
        <v/>
      </c>
      <c r="AG489" s="4" t="str">
        <f>"16702349675"</f>
        <v>16702349675</v>
      </c>
      <c r="AH489" t="str">
        <f>""</f>
        <v/>
      </c>
      <c r="AI489" t="str">
        <f>"561720"</f>
        <v>561720</v>
      </c>
      <c r="AJ489" t="s">
        <v>79</v>
      </c>
      <c r="AK489" t="s">
        <v>79</v>
      </c>
      <c r="AL489" t="s">
        <v>80</v>
      </c>
      <c r="AM489" t="s">
        <v>79</v>
      </c>
      <c r="AP489" t="str">
        <f>"General Maintenance"</f>
        <v>General Maintenance</v>
      </c>
      <c r="AQ489" t="str">
        <f>"49-9071.00"</f>
        <v>49-9071.00</v>
      </c>
      <c r="AR489" t="str">
        <f>"Maintenance and Repair Workers, General"</f>
        <v>Maintenance and Repair Workers, General</v>
      </c>
      <c r="AS489" t="str">
        <f>"N/A"</f>
        <v>N/A</v>
      </c>
      <c r="AT489" t="s">
        <v>79</v>
      </c>
      <c r="AU489" t="str">
        <f>""</f>
        <v/>
      </c>
      <c r="AV489" t="str">
        <f>""</f>
        <v/>
      </c>
      <c r="AW489" t="s">
        <v>79</v>
      </c>
      <c r="AX489" t="str">
        <f>""</f>
        <v/>
      </c>
      <c r="AY489" t="s">
        <v>84</v>
      </c>
      <c r="BA489" t="s">
        <v>80</v>
      </c>
      <c r="BB489" t="s">
        <v>79</v>
      </c>
      <c r="BD489" t="s">
        <v>79</v>
      </c>
      <c r="BG489" t="s">
        <v>82</v>
      </c>
      <c r="BH489">
        <v>12</v>
      </c>
      <c r="BI489" t="s">
        <v>271</v>
      </c>
      <c r="BJ489" t="s">
        <v>272</v>
      </c>
      <c r="BK489" t="str">
        <f>"Joeten Superstore bldg.,Roong Ln#1, San Jose"</f>
        <v>Joeten Superstore bldg.,Roong Ln#1, San Jose</v>
      </c>
      <c r="BL489" t="str">
        <f>""</f>
        <v/>
      </c>
      <c r="BM489" t="str">
        <f>"Saipan"</f>
        <v>Saipan</v>
      </c>
      <c r="BO489" t="s">
        <v>83</v>
      </c>
      <c r="BP489" s="4" t="str">
        <f>"96950"</f>
        <v>96950</v>
      </c>
      <c r="BQ489" t="s">
        <v>79</v>
      </c>
      <c r="BR489" t="str">
        <f>"49-9071.00"</f>
        <v>49-9071.00</v>
      </c>
      <c r="BS489" t="s">
        <v>146</v>
      </c>
      <c r="BT489" s="3">
        <v>9.19</v>
      </c>
      <c r="BU489" t="s">
        <v>80</v>
      </c>
      <c r="BV489" t="s">
        <v>90</v>
      </c>
      <c r="BW489" t="s">
        <v>92</v>
      </c>
      <c r="BZ489" s="1">
        <v>45107</v>
      </c>
    </row>
    <row r="490" spans="1:78" ht="15" customHeight="1" x14ac:dyDescent="0.25">
      <c r="A490" t="s">
        <v>273</v>
      </c>
      <c r="B490" t="s">
        <v>94</v>
      </c>
      <c r="C490" s="1">
        <v>44802</v>
      </c>
      <c r="D490" s="1">
        <v>44845</v>
      </c>
      <c r="H490" t="s">
        <v>78</v>
      </c>
      <c r="I490" t="str">
        <f>"KIM"</f>
        <v>KIM</v>
      </c>
      <c r="J490" t="str">
        <f>"DOYI"</f>
        <v>DOYI</v>
      </c>
      <c r="K490" t="str">
        <f>""</f>
        <v/>
      </c>
      <c r="L490" t="str">
        <f>"CORPORATE SECRETARY"</f>
        <v>CORPORATE SECRETARY</v>
      </c>
      <c r="M490" t="str">
        <f>"P.O. BOX 506003"</f>
        <v>P.O. BOX 506003</v>
      </c>
      <c r="N490" t="str">
        <f>""</f>
        <v/>
      </c>
      <c r="O490" t="str">
        <f>"SAIPAN"</f>
        <v>SAIPAN</v>
      </c>
      <c r="P490" t="str">
        <f t="shared" si="271"/>
        <v>MP</v>
      </c>
      <c r="Q490" s="4" t="str">
        <f>"96950"</f>
        <v>96950</v>
      </c>
      <c r="R490" t="str">
        <f t="shared" si="272"/>
        <v>UNITED STATES OF AMERICA</v>
      </c>
      <c r="S490" t="str">
        <f>""</f>
        <v/>
      </c>
      <c r="T490" s="5" t="str">
        <f>"16702353313"</f>
        <v>16702353313</v>
      </c>
      <c r="U490" t="str">
        <f>""</f>
        <v/>
      </c>
      <c r="V490" s="5" t="str">
        <f>""</f>
        <v/>
      </c>
      <c r="W490" t="str">
        <f>"saipanwinners5@gmail.com"</f>
        <v>saipanwinners5@gmail.com</v>
      </c>
      <c r="X490" t="str">
        <f>"Marianas Meat Harvesting Corporation"</f>
        <v>Marianas Meat Harvesting Corporation</v>
      </c>
      <c r="Y490" t="str">
        <f>"MMHC Slaughterhouse, CK Smokehouse &amp; Salad, Fresh Martket, et al."</f>
        <v>MMHC Slaughterhouse, CK Smokehouse &amp; Salad, Fresh Martket, et al.</v>
      </c>
      <c r="Z490" t="str">
        <f>"P.O. Box 506003"</f>
        <v>P.O. Box 506003</v>
      </c>
      <c r="AA490" t="str">
        <f>""</f>
        <v/>
      </c>
      <c r="AB490" t="str">
        <f>"Saipan"</f>
        <v>Saipan</v>
      </c>
      <c r="AC490" t="str">
        <f t="shared" si="270"/>
        <v>MP</v>
      </c>
      <c r="AD490" t="str">
        <f>"96950"</f>
        <v>96950</v>
      </c>
      <c r="AE490" t="str">
        <f t="shared" si="273"/>
        <v>UNITED STATES OF AMERICA</v>
      </c>
      <c r="AF490" t="str">
        <f>""</f>
        <v/>
      </c>
      <c r="AG490" s="4" t="str">
        <f>"16702353313"</f>
        <v>16702353313</v>
      </c>
      <c r="AH490" t="str">
        <f>""</f>
        <v/>
      </c>
      <c r="AI490" t="str">
        <f>"31161"</f>
        <v>31161</v>
      </c>
      <c r="AJ490" t="s">
        <v>79</v>
      </c>
      <c r="AK490" t="s">
        <v>79</v>
      </c>
      <c r="AL490" t="s">
        <v>80</v>
      </c>
      <c r="AM490" t="s">
        <v>79</v>
      </c>
      <c r="AP490" t="str">
        <f>"Accounting Associates"</f>
        <v>Accounting Associates</v>
      </c>
      <c r="AQ490" t="str">
        <f>"43-3031.00"</f>
        <v>43-3031.00</v>
      </c>
      <c r="AR490" t="str">
        <f>"Bookkeeping, Accounting, and Auditing Clerks"</f>
        <v>Bookkeeping, Accounting, and Auditing Clerks</v>
      </c>
      <c r="AS490" t="str">
        <f>"General Manager"</f>
        <v>General Manager</v>
      </c>
      <c r="AT490" t="s">
        <v>79</v>
      </c>
      <c r="AU490" t="str">
        <f>""</f>
        <v/>
      </c>
      <c r="AV490" t="str">
        <f>""</f>
        <v/>
      </c>
      <c r="AW490" t="s">
        <v>79</v>
      </c>
      <c r="AX490" t="str">
        <f>""</f>
        <v/>
      </c>
      <c r="AY490" t="s">
        <v>124</v>
      </c>
      <c r="BA490" t="s">
        <v>130</v>
      </c>
      <c r="BB490" t="s">
        <v>79</v>
      </c>
      <c r="BD490" t="s">
        <v>79</v>
      </c>
      <c r="BG490" t="s">
        <v>82</v>
      </c>
      <c r="BH490">
        <v>24</v>
      </c>
      <c r="BI490" t="s">
        <v>131</v>
      </c>
      <c r="BJ490" t="s">
        <v>274</v>
      </c>
      <c r="BK490" t="str">
        <f>"Lowerbase Drive"</f>
        <v>Lowerbase Drive</v>
      </c>
      <c r="BL490" t="str">
        <f>""</f>
        <v/>
      </c>
      <c r="BM490" t="str">
        <f>"Saipan"</f>
        <v>Saipan</v>
      </c>
      <c r="BO490" t="s">
        <v>83</v>
      </c>
      <c r="BP490" s="4" t="str">
        <f>"96950"</f>
        <v>96950</v>
      </c>
      <c r="BQ490" t="s">
        <v>79</v>
      </c>
      <c r="BR490" t="str">
        <f>"43-3031.00"</f>
        <v>43-3031.00</v>
      </c>
      <c r="BS490" t="s">
        <v>142</v>
      </c>
      <c r="BT490" s="3">
        <v>11.21</v>
      </c>
      <c r="BU490" t="s">
        <v>80</v>
      </c>
      <c r="BV490" t="s">
        <v>90</v>
      </c>
      <c r="BW490" t="s">
        <v>92</v>
      </c>
      <c r="BZ490" s="1">
        <v>45107</v>
      </c>
    </row>
    <row r="491" spans="1:78" ht="15" customHeight="1" x14ac:dyDescent="0.25">
      <c r="A491" t="s">
        <v>275</v>
      </c>
      <c r="B491" t="s">
        <v>94</v>
      </c>
      <c r="C491" s="1">
        <v>44802</v>
      </c>
      <c r="D491" s="1">
        <v>44845</v>
      </c>
      <c r="H491" t="s">
        <v>78</v>
      </c>
      <c r="I491" t="str">
        <f>"Kim"</f>
        <v>Kim</v>
      </c>
      <c r="J491" t="str">
        <f>"Doyi"</f>
        <v>Doyi</v>
      </c>
      <c r="K491" t="str">
        <f>""</f>
        <v/>
      </c>
      <c r="L491" t="str">
        <f>"General Manager"</f>
        <v>General Manager</v>
      </c>
      <c r="M491" t="str">
        <f>"P.O. Box 506003"</f>
        <v>P.O. Box 506003</v>
      </c>
      <c r="N491" t="str">
        <f>""</f>
        <v/>
      </c>
      <c r="O491" t="str">
        <f>"Saipan"</f>
        <v>Saipan</v>
      </c>
      <c r="P491" t="str">
        <f t="shared" si="271"/>
        <v>MP</v>
      </c>
      <c r="Q491" s="4" t="str">
        <f>"96950"</f>
        <v>96950</v>
      </c>
      <c r="R491" t="str">
        <f t="shared" si="272"/>
        <v>UNITED STATES OF AMERICA</v>
      </c>
      <c r="S491" t="str">
        <f>""</f>
        <v/>
      </c>
      <c r="T491" s="5" t="str">
        <f>"16702353313"</f>
        <v>16702353313</v>
      </c>
      <c r="U491" t="str">
        <f>""</f>
        <v/>
      </c>
      <c r="V491" s="5" t="str">
        <f>""</f>
        <v/>
      </c>
      <c r="W491" t="str">
        <f>"saipanwinners5@gmail.com"</f>
        <v>saipanwinners5@gmail.com</v>
      </c>
      <c r="X491" t="str">
        <f>"P&amp;A Corporation"</f>
        <v>P&amp;A Corporation</v>
      </c>
      <c r="Y491" t="str">
        <f>"Winners Residence, Winners Apt &amp; Commercial Rental, Winners Gas, "</f>
        <v xml:space="preserve">Winners Residence, Winners Apt &amp; Commercial Rental, Winners Gas, </v>
      </c>
      <c r="Z491" t="str">
        <f>"P.O. Box 506003"</f>
        <v>P.O. Box 506003</v>
      </c>
      <c r="AA491" t="str">
        <f>""</f>
        <v/>
      </c>
      <c r="AB491" t="str">
        <f>"Saipan"</f>
        <v>Saipan</v>
      </c>
      <c r="AC491" t="str">
        <f t="shared" si="270"/>
        <v>MP</v>
      </c>
      <c r="AD491" t="str">
        <f>"96950"</f>
        <v>96950</v>
      </c>
      <c r="AE491" t="str">
        <f t="shared" si="273"/>
        <v>UNITED STATES OF AMERICA</v>
      </c>
      <c r="AF491" t="str">
        <f>""</f>
        <v/>
      </c>
      <c r="AG491" s="4" t="str">
        <f>"16702353313"</f>
        <v>16702353313</v>
      </c>
      <c r="AH491" t="str">
        <f>""</f>
        <v/>
      </c>
      <c r="AI491" t="str">
        <f>"531110"</f>
        <v>531110</v>
      </c>
      <c r="AJ491" t="s">
        <v>79</v>
      </c>
      <c r="AK491" t="s">
        <v>79</v>
      </c>
      <c r="AL491" t="s">
        <v>80</v>
      </c>
      <c r="AM491" t="s">
        <v>79</v>
      </c>
      <c r="AP491" t="str">
        <f>"Accounting Associates"</f>
        <v>Accounting Associates</v>
      </c>
      <c r="AQ491" t="str">
        <f>"43-3031.00"</f>
        <v>43-3031.00</v>
      </c>
      <c r="AR491" t="str">
        <f>"Bookkeeping, Accounting, and Auditing Clerks"</f>
        <v>Bookkeeping, Accounting, and Auditing Clerks</v>
      </c>
      <c r="AS491" t="str">
        <f>"General Manager"</f>
        <v>General Manager</v>
      </c>
      <c r="AT491" t="s">
        <v>79</v>
      </c>
      <c r="AU491" t="str">
        <f>""</f>
        <v/>
      </c>
      <c r="AV491" t="str">
        <f>""</f>
        <v/>
      </c>
      <c r="AW491" t="s">
        <v>79</v>
      </c>
      <c r="AX491" t="str">
        <f>""</f>
        <v/>
      </c>
      <c r="AY491" t="s">
        <v>124</v>
      </c>
      <c r="BA491" t="s">
        <v>130</v>
      </c>
      <c r="BB491" t="s">
        <v>79</v>
      </c>
      <c r="BD491" t="s">
        <v>79</v>
      </c>
      <c r="BG491" t="s">
        <v>82</v>
      </c>
      <c r="BH491">
        <v>24</v>
      </c>
      <c r="BI491" t="s">
        <v>131</v>
      </c>
      <c r="BJ491" t="s">
        <v>276</v>
      </c>
      <c r="BK491" t="str">
        <f>"Afetna Rd"</f>
        <v>Afetna Rd</v>
      </c>
      <c r="BL491" t="str">
        <f>""</f>
        <v/>
      </c>
      <c r="BM491" t="str">
        <f>"Saipan"</f>
        <v>Saipan</v>
      </c>
      <c r="BO491" t="s">
        <v>83</v>
      </c>
      <c r="BP491" s="4" t="str">
        <f>"96950"</f>
        <v>96950</v>
      </c>
      <c r="BQ491" t="s">
        <v>79</v>
      </c>
      <c r="BR491" t="str">
        <f>"43-3031.00"</f>
        <v>43-3031.00</v>
      </c>
      <c r="BS491" t="s">
        <v>142</v>
      </c>
      <c r="BT491" s="3">
        <v>11.21</v>
      </c>
      <c r="BU491" t="s">
        <v>80</v>
      </c>
      <c r="BV491" t="s">
        <v>90</v>
      </c>
      <c r="BW491" t="s">
        <v>92</v>
      </c>
      <c r="BZ491" s="1">
        <v>45107</v>
      </c>
    </row>
    <row r="492" spans="1:78" ht="15" customHeight="1" x14ac:dyDescent="0.25">
      <c r="A492" t="s">
        <v>277</v>
      </c>
      <c r="B492" t="s">
        <v>94</v>
      </c>
      <c r="C492" s="1">
        <v>44802</v>
      </c>
      <c r="D492" s="1">
        <v>44845</v>
      </c>
      <c r="H492" t="s">
        <v>78</v>
      </c>
      <c r="I492" t="str">
        <f>"SHEU"</f>
        <v>SHEU</v>
      </c>
      <c r="J492" t="str">
        <f>"MICHAEL"</f>
        <v>MICHAEL</v>
      </c>
      <c r="K492" t="str">
        <f>"UNPINGCO"</f>
        <v>UNPINGCO</v>
      </c>
      <c r="L492" t="str">
        <f>"VICE-PRESIDENT"</f>
        <v>VICE-PRESIDENT</v>
      </c>
      <c r="M492" t="str">
        <f>"3786 AFETNAS ROAD"</f>
        <v>3786 AFETNAS ROAD</v>
      </c>
      <c r="N492" t="str">
        <f>"SAN ANTONIO"</f>
        <v>SAN ANTONIO</v>
      </c>
      <c r="O492" t="str">
        <f>"SAIPAN"</f>
        <v>SAIPAN</v>
      </c>
      <c r="P492" t="str">
        <f t="shared" si="271"/>
        <v>MP</v>
      </c>
      <c r="Q492" s="4" t="str">
        <f>"96950"</f>
        <v>96950</v>
      </c>
      <c r="R492" t="str">
        <f t="shared" si="272"/>
        <v>UNITED STATES OF AMERICA</v>
      </c>
      <c r="S492" t="str">
        <f>""</f>
        <v/>
      </c>
      <c r="T492" s="5" t="str">
        <f>"16702358748"</f>
        <v>16702358748</v>
      </c>
      <c r="U492" t="str">
        <f>""</f>
        <v/>
      </c>
      <c r="V492" s="5" t="str">
        <f>""</f>
        <v/>
      </c>
      <c r="W492" t="str">
        <f>"msheu@hongyehardware.com"</f>
        <v>msheu@hongyehardware.com</v>
      </c>
      <c r="X492" t="str">
        <f>"HONG YE TRADING CO. LTD"</f>
        <v>HONG YE TRADING CO. LTD</v>
      </c>
      <c r="Y492" t="str">
        <f>"HONG YE HARDWARE"</f>
        <v>HONG YE HARDWARE</v>
      </c>
      <c r="Z492" t="str">
        <f>"3786 AFETNAS ROAD"</f>
        <v>3786 AFETNAS ROAD</v>
      </c>
      <c r="AA492" t="str">
        <f>"SAN ANTONIO"</f>
        <v>SAN ANTONIO</v>
      </c>
      <c r="AB492" t="str">
        <f>"SAIPAN"</f>
        <v>SAIPAN</v>
      </c>
      <c r="AC492" t="str">
        <f t="shared" si="270"/>
        <v>MP</v>
      </c>
      <c r="AD492" t="str">
        <f>"96950"</f>
        <v>96950</v>
      </c>
      <c r="AE492" t="str">
        <f t="shared" si="273"/>
        <v>UNITED STATES OF AMERICA</v>
      </c>
      <c r="AF492" t="str">
        <f>""</f>
        <v/>
      </c>
      <c r="AG492" s="4" t="str">
        <f>"16702358748"</f>
        <v>16702358748</v>
      </c>
      <c r="AH492" t="str">
        <f>""</f>
        <v/>
      </c>
      <c r="AI492" t="str">
        <f>"423710"</f>
        <v>423710</v>
      </c>
      <c r="AJ492" t="s">
        <v>79</v>
      </c>
      <c r="AK492" t="s">
        <v>79</v>
      </c>
      <c r="AL492" t="s">
        <v>80</v>
      </c>
      <c r="AM492" t="s">
        <v>79</v>
      </c>
      <c r="AP492" t="str">
        <f>"SUPERVISOR"</f>
        <v>SUPERVISOR</v>
      </c>
      <c r="AQ492" t="str">
        <f>"41-1011.00"</f>
        <v>41-1011.00</v>
      </c>
      <c r="AR492" t="str">
        <f>"First-Line Supervisors of Retail Sales Workers"</f>
        <v>First-Line Supervisors of Retail Sales Workers</v>
      </c>
      <c r="AS492" t="str">
        <f>"MANAGER"</f>
        <v>MANAGER</v>
      </c>
      <c r="AT492" t="s">
        <v>82</v>
      </c>
      <c r="AU492" t="str">
        <f>"5"</f>
        <v>5</v>
      </c>
      <c r="AV492" t="str">
        <f>"Subordinate"</f>
        <v>Subordinate</v>
      </c>
      <c r="AW492" t="s">
        <v>79</v>
      </c>
      <c r="AX492" t="str">
        <f>""</f>
        <v/>
      </c>
      <c r="AY492" t="s">
        <v>84</v>
      </c>
      <c r="BA492" t="s">
        <v>119</v>
      </c>
      <c r="BB492" t="s">
        <v>79</v>
      </c>
      <c r="BD492" t="s">
        <v>79</v>
      </c>
      <c r="BG492" t="s">
        <v>82</v>
      </c>
      <c r="BH492">
        <v>12</v>
      </c>
      <c r="BI492" t="s">
        <v>278</v>
      </c>
      <c r="BJ492" t="s">
        <v>279</v>
      </c>
      <c r="BK492" t="str">
        <f>"3786 AFETNAS ROAD"</f>
        <v>3786 AFETNAS ROAD</v>
      </c>
      <c r="BL492" t="str">
        <f>"SAN ANTONIO"</f>
        <v>SAN ANTONIO</v>
      </c>
      <c r="BM492" t="str">
        <f>"SAIPAN"</f>
        <v>SAIPAN</v>
      </c>
      <c r="BO492" t="s">
        <v>83</v>
      </c>
      <c r="BP492" s="4" t="str">
        <f>"96950"</f>
        <v>96950</v>
      </c>
      <c r="BQ492" t="s">
        <v>79</v>
      </c>
      <c r="BR492" t="str">
        <f>"41-1011.00"</f>
        <v>41-1011.00</v>
      </c>
      <c r="BS492" t="s">
        <v>280</v>
      </c>
      <c r="BT492" s="3">
        <v>10.45</v>
      </c>
      <c r="BU492" t="s">
        <v>80</v>
      </c>
      <c r="BV492" t="s">
        <v>90</v>
      </c>
      <c r="BW492" t="s">
        <v>92</v>
      </c>
      <c r="BZ492" s="1">
        <v>45107</v>
      </c>
    </row>
    <row r="493" spans="1:78" ht="15" customHeight="1" x14ac:dyDescent="0.25">
      <c r="A493" t="s">
        <v>281</v>
      </c>
      <c r="B493" t="s">
        <v>94</v>
      </c>
      <c r="C493" s="1">
        <v>44802</v>
      </c>
      <c r="D493" s="1">
        <v>44845</v>
      </c>
      <c r="H493" t="s">
        <v>78</v>
      </c>
      <c r="I493" t="str">
        <f>"JOSELINE"</f>
        <v>JOSELINE</v>
      </c>
      <c r="J493" t="str">
        <f>"DIONESIO"</f>
        <v>DIONESIO</v>
      </c>
      <c r="K493" t="str">
        <f>"OBDEN"</f>
        <v>OBDEN</v>
      </c>
      <c r="L493" t="str">
        <f>"DAY CARE HOUSEKEEPER/JANITOR"</f>
        <v>DAY CARE HOUSEKEEPER/JANITOR</v>
      </c>
      <c r="M493" t="str">
        <f>"SINAPALO VILLAGE"</f>
        <v>SINAPALO VILLAGE</v>
      </c>
      <c r="N493" t="str">
        <f>""</f>
        <v/>
      </c>
      <c r="O493" t="str">
        <f>"ROTA"</f>
        <v>ROTA</v>
      </c>
      <c r="P493" t="str">
        <f t="shared" si="271"/>
        <v>MP</v>
      </c>
      <c r="Q493" s="4" t="str">
        <f>"96951"</f>
        <v>96951</v>
      </c>
      <c r="R493" t="str">
        <f t="shared" si="272"/>
        <v>UNITED STATES OF AMERICA</v>
      </c>
      <c r="S493" t="str">
        <f>""</f>
        <v/>
      </c>
      <c r="T493" s="5" t="str">
        <f>"16705321470"</f>
        <v>16705321470</v>
      </c>
      <c r="U493" t="str">
        <f>""</f>
        <v/>
      </c>
      <c r="V493" s="5" t="str">
        <f>""</f>
        <v/>
      </c>
      <c r="W493" t="str">
        <f>"tmripley1127@gmail.com"</f>
        <v>tmripley1127@gmail.com</v>
      </c>
      <c r="X493" t="str">
        <f>"JOSELINE DIONESIO"</f>
        <v>JOSELINE DIONESIO</v>
      </c>
      <c r="Y493" t="str">
        <f>"EJ'S DAY CARE"</f>
        <v>EJ'S DAY CARE</v>
      </c>
      <c r="Z493" t="str">
        <f>"SINAPALO VILLAGE"</f>
        <v>SINAPALO VILLAGE</v>
      </c>
      <c r="AA493" t="str">
        <f>""</f>
        <v/>
      </c>
      <c r="AB493" t="str">
        <f>"ROTA"</f>
        <v>ROTA</v>
      </c>
      <c r="AC493" t="str">
        <f t="shared" si="270"/>
        <v>MP</v>
      </c>
      <c r="AD493" t="str">
        <f>"96951"</f>
        <v>96951</v>
      </c>
      <c r="AE493" t="str">
        <f t="shared" si="273"/>
        <v>UNITED STATES OF AMERICA</v>
      </c>
      <c r="AF493" t="str">
        <f>""</f>
        <v/>
      </c>
      <c r="AG493" s="4" t="str">
        <f>"16705321470"</f>
        <v>16705321470</v>
      </c>
      <c r="AH493" t="str">
        <f>""</f>
        <v/>
      </c>
      <c r="AI493" t="str">
        <f>"624410"</f>
        <v>624410</v>
      </c>
      <c r="AJ493" t="s">
        <v>79</v>
      </c>
      <c r="AK493" t="s">
        <v>79</v>
      </c>
      <c r="AL493" t="s">
        <v>80</v>
      </c>
      <c r="AM493" t="s">
        <v>79</v>
      </c>
      <c r="AP493" t="str">
        <f>"DAY CARE HOUSEKEEPER/JANITOR"</f>
        <v>DAY CARE HOUSEKEEPER/JANITOR</v>
      </c>
      <c r="AQ493" t="str">
        <f>"37-2011.00"</f>
        <v>37-2011.00</v>
      </c>
      <c r="AR493" t="str">
        <f>"Janitors and Cleaners, Except Maids and Housekeeping Cleaners"</f>
        <v>Janitors and Cleaners, Except Maids and Housekeeping Cleaners</v>
      </c>
      <c r="AS493" t="str">
        <f>"GENERAL MANAGER"</f>
        <v>GENERAL MANAGER</v>
      </c>
      <c r="AT493" t="s">
        <v>79</v>
      </c>
      <c r="AU493" t="str">
        <f>""</f>
        <v/>
      </c>
      <c r="AV493" t="str">
        <f>""</f>
        <v/>
      </c>
      <c r="AW493" t="s">
        <v>79</v>
      </c>
      <c r="AX493" t="str">
        <f>""</f>
        <v/>
      </c>
      <c r="AY493" t="s">
        <v>84</v>
      </c>
      <c r="BA493" t="s">
        <v>80</v>
      </c>
      <c r="BB493" t="s">
        <v>79</v>
      </c>
      <c r="BD493" t="s">
        <v>79</v>
      </c>
      <c r="BG493" t="s">
        <v>79</v>
      </c>
      <c r="BJ493" t="s">
        <v>282</v>
      </c>
      <c r="BK493" t="str">
        <f>"SINAPALO VILLAGE"</f>
        <v>SINAPALO VILLAGE</v>
      </c>
      <c r="BL493" t="str">
        <f>""</f>
        <v/>
      </c>
      <c r="BM493" t="str">
        <f>"ROTA"</f>
        <v>ROTA</v>
      </c>
      <c r="BO493" t="s">
        <v>83</v>
      </c>
      <c r="BP493" s="4" t="str">
        <f>"96951"</f>
        <v>96951</v>
      </c>
      <c r="BQ493" t="s">
        <v>79</v>
      </c>
      <c r="BR493" t="str">
        <f>"37-2012.00"</f>
        <v>37-2012.00</v>
      </c>
      <c r="BS493" t="s">
        <v>109</v>
      </c>
      <c r="BT493" s="3">
        <v>7.56</v>
      </c>
      <c r="BU493" t="s">
        <v>80</v>
      </c>
      <c r="BV493" t="s">
        <v>90</v>
      </c>
      <c r="BW493" t="s">
        <v>92</v>
      </c>
      <c r="BZ493" s="1">
        <v>45107</v>
      </c>
    </row>
    <row r="494" spans="1:78" ht="15" customHeight="1" x14ac:dyDescent="0.25">
      <c r="A494" t="s">
        <v>259</v>
      </c>
      <c r="B494" t="s">
        <v>94</v>
      </c>
      <c r="C494" s="1">
        <v>44801</v>
      </c>
      <c r="D494" s="1">
        <v>44845</v>
      </c>
      <c r="H494" t="s">
        <v>78</v>
      </c>
      <c r="I494" t="str">
        <f>"SABLAN"</f>
        <v>SABLAN</v>
      </c>
      <c r="J494" t="str">
        <f>"PETER"</f>
        <v>PETER</v>
      </c>
      <c r="K494" t="str">
        <f>"BARCINAS"</f>
        <v>BARCINAS</v>
      </c>
      <c r="L494" t="str">
        <f>"MEMBER"</f>
        <v>MEMBER</v>
      </c>
      <c r="M494" t="str">
        <f>"GROUND FLOOR SABLAN AFETNA PLAZA"</f>
        <v>GROUND FLOOR SABLAN AFETNA PLAZA</v>
      </c>
      <c r="N494" t="str">
        <f>"SAN ANTONIO"</f>
        <v>SAN ANTONIO</v>
      </c>
      <c r="O494" t="str">
        <f>"SAIPAN"</f>
        <v>SAIPAN</v>
      </c>
      <c r="P494" t="str">
        <f t="shared" si="271"/>
        <v>MP</v>
      </c>
      <c r="Q494" s="4" t="str">
        <f t="shared" ref="Q494:Q501" si="274">"96950"</f>
        <v>96950</v>
      </c>
      <c r="R494" t="str">
        <f t="shared" si="272"/>
        <v>UNITED STATES OF AMERICA</v>
      </c>
      <c r="S494" t="str">
        <f>""</f>
        <v/>
      </c>
      <c r="T494" s="5" t="str">
        <f>"16702351680"</f>
        <v>16702351680</v>
      </c>
      <c r="U494" t="str">
        <f>""</f>
        <v/>
      </c>
      <c r="V494" s="5" t="str">
        <f>""</f>
        <v/>
      </c>
      <c r="W494" t="str">
        <f>"sapaydpena@gmail.com"</f>
        <v>sapaydpena@gmail.com</v>
      </c>
      <c r="X494" t="str">
        <f>"Saipan Apparel Printing LLC."</f>
        <v>Saipan Apparel Printing LLC.</v>
      </c>
      <c r="Y494" t="str">
        <f>"The Fresh Factory"</f>
        <v>The Fresh Factory</v>
      </c>
      <c r="Z494" t="str">
        <f>"Sablan Afetna Plaza"</f>
        <v>Sablan Afetna Plaza</v>
      </c>
      <c r="AA494" t="str">
        <f>"San Antonio"</f>
        <v>San Antonio</v>
      </c>
      <c r="AB494" t="str">
        <f>"Saipan"</f>
        <v>Saipan</v>
      </c>
      <c r="AC494" t="str">
        <f t="shared" si="270"/>
        <v>MP</v>
      </c>
      <c r="AD494" t="str">
        <f t="shared" ref="AD494:AD501" si="275">"96950"</f>
        <v>96950</v>
      </c>
      <c r="AE494" t="str">
        <f t="shared" si="273"/>
        <v>UNITED STATES OF AMERICA</v>
      </c>
      <c r="AF494" t="str">
        <f>""</f>
        <v/>
      </c>
      <c r="AG494" s="4" t="str">
        <f>"16702351680"</f>
        <v>16702351680</v>
      </c>
      <c r="AH494" t="str">
        <f>""</f>
        <v/>
      </c>
      <c r="AI494" t="str">
        <f>"81211"</f>
        <v>81211</v>
      </c>
      <c r="AJ494" t="s">
        <v>79</v>
      </c>
      <c r="AK494" t="s">
        <v>79</v>
      </c>
      <c r="AL494" t="s">
        <v>80</v>
      </c>
      <c r="AM494" t="s">
        <v>79</v>
      </c>
      <c r="AP494" t="str">
        <f>"BEAUTICIAN"</f>
        <v>BEAUTICIAN</v>
      </c>
      <c r="AQ494" t="str">
        <f>"39-5012.00"</f>
        <v>39-5012.00</v>
      </c>
      <c r="AR494" t="str">
        <f>"Hairdressers, Hairstylists, and Cosmetologists"</f>
        <v>Hairdressers, Hairstylists, and Cosmetologists</v>
      </c>
      <c r="AS494" t="str">
        <f>"NONE"</f>
        <v>NONE</v>
      </c>
      <c r="AT494" t="s">
        <v>79</v>
      </c>
      <c r="AU494" t="str">
        <f>""</f>
        <v/>
      </c>
      <c r="AV494" t="str">
        <f>""</f>
        <v/>
      </c>
      <c r="AW494" t="s">
        <v>79</v>
      </c>
      <c r="AX494" t="str">
        <f>""</f>
        <v/>
      </c>
      <c r="AY494" t="s">
        <v>84</v>
      </c>
      <c r="BA494" t="s">
        <v>80</v>
      </c>
      <c r="BB494" t="s">
        <v>79</v>
      </c>
      <c r="BD494" t="s">
        <v>79</v>
      </c>
      <c r="BG494" t="s">
        <v>82</v>
      </c>
      <c r="BH494">
        <v>12</v>
      </c>
      <c r="BI494" t="s">
        <v>87</v>
      </c>
      <c r="BJ494" t="s">
        <v>260</v>
      </c>
      <c r="BK494" t="str">
        <f>"GROUND FLOOR, SABLAN AFETNA PLAZA"</f>
        <v>GROUND FLOOR, SABLAN AFETNA PLAZA</v>
      </c>
      <c r="BL494" t="str">
        <f>"BEACH ROAD, SAN ANTONIO"</f>
        <v>BEACH ROAD, SAN ANTONIO</v>
      </c>
      <c r="BM494" t="str">
        <f>"SAIPAN"</f>
        <v>SAIPAN</v>
      </c>
      <c r="BO494" t="s">
        <v>83</v>
      </c>
      <c r="BP494" s="4" t="str">
        <f t="shared" ref="BP494:BP501" si="276">"96950"</f>
        <v>96950</v>
      </c>
      <c r="BQ494" t="s">
        <v>79</v>
      </c>
      <c r="BR494" t="str">
        <f>"39-5012.00"</f>
        <v>39-5012.00</v>
      </c>
      <c r="BS494" t="s">
        <v>184</v>
      </c>
      <c r="BT494" s="3">
        <v>7.88</v>
      </c>
      <c r="BU494" t="s">
        <v>80</v>
      </c>
      <c r="BV494" t="s">
        <v>90</v>
      </c>
      <c r="BW494" t="s">
        <v>92</v>
      </c>
      <c r="BZ494" s="1">
        <v>45107</v>
      </c>
    </row>
    <row r="495" spans="1:78" ht="15" customHeight="1" x14ac:dyDescent="0.25">
      <c r="A495" t="s">
        <v>261</v>
      </c>
      <c r="B495" t="s">
        <v>94</v>
      </c>
      <c r="C495" s="1">
        <v>44801</v>
      </c>
      <c r="D495" s="1">
        <v>44845</v>
      </c>
      <c r="H495" t="s">
        <v>78</v>
      </c>
      <c r="I495" t="str">
        <f>"SABLAN"</f>
        <v>SABLAN</v>
      </c>
      <c r="J495" t="str">
        <f>"PETER"</f>
        <v>PETER</v>
      </c>
      <c r="K495" t="str">
        <f>"BARCINAS"</f>
        <v>BARCINAS</v>
      </c>
      <c r="L495" t="str">
        <f>"MEMBER"</f>
        <v>MEMBER</v>
      </c>
      <c r="M495" t="str">
        <f>"GROUND FLOOR SABLAN AFETNA PLAZA"</f>
        <v>GROUND FLOOR SABLAN AFETNA PLAZA</v>
      </c>
      <c r="N495" t="str">
        <f>"SAN ANTONIO"</f>
        <v>SAN ANTONIO</v>
      </c>
      <c r="O495" t="str">
        <f>"SAIPAN"</f>
        <v>SAIPAN</v>
      </c>
      <c r="P495" t="str">
        <f t="shared" si="271"/>
        <v>MP</v>
      </c>
      <c r="Q495" s="4" t="str">
        <f t="shared" si="274"/>
        <v>96950</v>
      </c>
      <c r="R495" t="str">
        <f t="shared" si="272"/>
        <v>UNITED STATES OF AMERICA</v>
      </c>
      <c r="S495" t="str">
        <f>""</f>
        <v/>
      </c>
      <c r="T495" s="5" t="str">
        <f>"16702351680"</f>
        <v>16702351680</v>
      </c>
      <c r="U495" t="str">
        <f>""</f>
        <v/>
      </c>
      <c r="V495" s="5" t="str">
        <f>""</f>
        <v/>
      </c>
      <c r="W495" t="str">
        <f>"sapaydpena@gmail.com"</f>
        <v>sapaydpena@gmail.com</v>
      </c>
      <c r="X495" t="str">
        <f>"SAIPAN APPAREL PRINTING LLC."</f>
        <v>SAIPAN APPAREL PRINTING LLC.</v>
      </c>
      <c r="Y495" t="str">
        <f>""</f>
        <v/>
      </c>
      <c r="Z495" t="str">
        <f>"GROUND FLOOR SABLAN AFETNA PLAZA"</f>
        <v>GROUND FLOOR SABLAN AFETNA PLAZA</v>
      </c>
      <c r="AA495" t="str">
        <f>"SAN ANTONIO"</f>
        <v>SAN ANTONIO</v>
      </c>
      <c r="AB495" t="str">
        <f>"SAIPAN"</f>
        <v>SAIPAN</v>
      </c>
      <c r="AC495" t="str">
        <f t="shared" si="270"/>
        <v>MP</v>
      </c>
      <c r="AD495" t="str">
        <f t="shared" si="275"/>
        <v>96950</v>
      </c>
      <c r="AE495" t="str">
        <f t="shared" si="273"/>
        <v>UNITED STATES OF AMERICA</v>
      </c>
      <c r="AF495" t="str">
        <f>""</f>
        <v/>
      </c>
      <c r="AG495" s="4" t="str">
        <f>"16702351680"</f>
        <v>16702351680</v>
      </c>
      <c r="AH495" t="str">
        <f>""</f>
        <v/>
      </c>
      <c r="AI495" t="str">
        <f>"31331"</f>
        <v>31331</v>
      </c>
      <c r="AJ495" t="s">
        <v>79</v>
      </c>
      <c r="AK495" t="s">
        <v>79</v>
      </c>
      <c r="AL495" t="s">
        <v>80</v>
      </c>
      <c r="AM495" t="s">
        <v>79</v>
      </c>
      <c r="AP495" t="str">
        <f>"SILK SCREEN PRINTER"</f>
        <v>SILK SCREEN PRINTER</v>
      </c>
      <c r="AQ495" t="str">
        <f>"51-6021.00"</f>
        <v>51-6021.00</v>
      </c>
      <c r="AR495" t="str">
        <f>"Pressers, Textile, Garment, and Related Materials"</f>
        <v>Pressers, Textile, Garment, and Related Materials</v>
      </c>
      <c r="AS495" t="str">
        <f>"Graphic Artist"</f>
        <v>Graphic Artist</v>
      </c>
      <c r="AT495" t="s">
        <v>79</v>
      </c>
      <c r="AU495" t="str">
        <f>""</f>
        <v/>
      </c>
      <c r="AV495" t="str">
        <f>""</f>
        <v/>
      </c>
      <c r="AW495" t="s">
        <v>79</v>
      </c>
      <c r="AX495" t="str">
        <f>""</f>
        <v/>
      </c>
      <c r="AY495" t="s">
        <v>84</v>
      </c>
      <c r="BA495" t="s">
        <v>80</v>
      </c>
      <c r="BB495" t="s">
        <v>79</v>
      </c>
      <c r="BD495" t="s">
        <v>79</v>
      </c>
      <c r="BG495" t="s">
        <v>82</v>
      </c>
      <c r="BH495">
        <v>3</v>
      </c>
      <c r="BI495" t="s">
        <v>262</v>
      </c>
      <c r="BJ495" t="s">
        <v>263</v>
      </c>
      <c r="BK495" t="str">
        <f>"GROUND FLOOR SABLAN AFETNA PLAZA"</f>
        <v>GROUND FLOOR SABLAN AFETNA PLAZA</v>
      </c>
      <c r="BL495" t="str">
        <f>"SAN ANTONIO"</f>
        <v>SAN ANTONIO</v>
      </c>
      <c r="BM495" t="str">
        <f>"SAIPAN"</f>
        <v>SAIPAN</v>
      </c>
      <c r="BO495" t="s">
        <v>83</v>
      </c>
      <c r="BP495" s="4" t="str">
        <f t="shared" si="276"/>
        <v>96950</v>
      </c>
      <c r="BQ495" t="s">
        <v>79</v>
      </c>
      <c r="BR495" t="str">
        <f>"51-5112.00"</f>
        <v>51-5112.00</v>
      </c>
      <c r="BS495" t="s">
        <v>264</v>
      </c>
      <c r="BT495" s="3">
        <v>13.44</v>
      </c>
      <c r="BU495" t="s">
        <v>80</v>
      </c>
      <c r="BV495" t="s">
        <v>90</v>
      </c>
      <c r="BW495" t="s">
        <v>265</v>
      </c>
      <c r="BZ495" s="1">
        <v>45107</v>
      </c>
    </row>
    <row r="496" spans="1:78" ht="15" customHeight="1" x14ac:dyDescent="0.25">
      <c r="A496" t="s">
        <v>266</v>
      </c>
      <c r="B496" t="s">
        <v>94</v>
      </c>
      <c r="C496" s="1">
        <v>44801</v>
      </c>
      <c r="D496" s="1">
        <v>44845</v>
      </c>
      <c r="H496" t="s">
        <v>78</v>
      </c>
      <c r="I496" t="str">
        <f>"SABLAN"</f>
        <v>SABLAN</v>
      </c>
      <c r="J496" t="str">
        <f>"PETER"</f>
        <v>PETER</v>
      </c>
      <c r="K496" t="str">
        <f>"BARCINAS"</f>
        <v>BARCINAS</v>
      </c>
      <c r="L496" t="str">
        <f>"VICE-PRESIDENT"</f>
        <v>VICE-PRESIDENT</v>
      </c>
      <c r="M496" t="str">
        <f>"AYD COMPOUND"</f>
        <v>AYD COMPOUND</v>
      </c>
      <c r="N496" t="str">
        <f>"BEACH ROAD, SAN ANTONIO"</f>
        <v>BEACH ROAD, SAN ANTONIO</v>
      </c>
      <c r="O496" t="str">
        <f>"SAIPAN"</f>
        <v>SAIPAN</v>
      </c>
      <c r="P496" t="str">
        <f t="shared" si="271"/>
        <v>MP</v>
      </c>
      <c r="Q496" s="4" t="str">
        <f t="shared" si="274"/>
        <v>96950</v>
      </c>
      <c r="R496" t="str">
        <f t="shared" si="272"/>
        <v>UNITED STATES OF AMERICA</v>
      </c>
      <c r="S496" t="str">
        <f>""</f>
        <v/>
      </c>
      <c r="T496" s="5" t="str">
        <f>"16702357011"</f>
        <v>16702357011</v>
      </c>
      <c r="U496" t="str">
        <f>""</f>
        <v/>
      </c>
      <c r="V496" s="5" t="str">
        <f>""</f>
        <v/>
      </c>
      <c r="W496" t="str">
        <f>"aydpenasap@gmail.com"</f>
        <v>aydpenasap@gmail.com</v>
      </c>
      <c r="X496" t="str">
        <f>"AYD SERVICES, INC."</f>
        <v>AYD SERVICES, INC.</v>
      </c>
      <c r="Y496" t="str">
        <f>""</f>
        <v/>
      </c>
      <c r="Z496" t="str">
        <f>"AYD COMPOUND"</f>
        <v>AYD COMPOUND</v>
      </c>
      <c r="AA496" t="str">
        <f>"BEACH ROAD, SAN ANTONIO"</f>
        <v>BEACH ROAD, SAN ANTONIO</v>
      </c>
      <c r="AB496" t="str">
        <f>"SAIPAN"</f>
        <v>SAIPAN</v>
      </c>
      <c r="AC496" t="str">
        <f t="shared" si="270"/>
        <v>MP</v>
      </c>
      <c r="AD496" t="str">
        <f t="shared" si="275"/>
        <v>96950</v>
      </c>
      <c r="AE496" t="str">
        <f t="shared" si="273"/>
        <v>UNITED STATES OF AMERICA</v>
      </c>
      <c r="AF496" t="str">
        <f>""</f>
        <v/>
      </c>
      <c r="AG496" s="4" t="str">
        <f>"16702357011"</f>
        <v>16702357011</v>
      </c>
      <c r="AH496" t="str">
        <f>""</f>
        <v/>
      </c>
      <c r="AI496" t="str">
        <f>"562111"</f>
        <v>562111</v>
      </c>
      <c r="AJ496" t="s">
        <v>79</v>
      </c>
      <c r="AK496" t="s">
        <v>79</v>
      </c>
      <c r="AL496" t="s">
        <v>80</v>
      </c>
      <c r="AM496" t="s">
        <v>79</v>
      </c>
      <c r="AP496" t="str">
        <f>"AUTO MECHANIC"</f>
        <v>AUTO MECHANIC</v>
      </c>
      <c r="AQ496" t="str">
        <f>"49-3023.00"</f>
        <v>49-3023.00</v>
      </c>
      <c r="AR496" t="str">
        <f>"Automotive Service Technicians and Mechanics"</f>
        <v>Automotive Service Technicians and Mechanics</v>
      </c>
      <c r="AS496" t="str">
        <f>"N/A"</f>
        <v>N/A</v>
      </c>
      <c r="AT496" t="s">
        <v>79</v>
      </c>
      <c r="AU496" t="str">
        <f>""</f>
        <v/>
      </c>
      <c r="AV496" t="str">
        <f>""</f>
        <v/>
      </c>
      <c r="AW496" t="s">
        <v>79</v>
      </c>
      <c r="AX496" t="str">
        <f>""</f>
        <v/>
      </c>
      <c r="AY496" t="s">
        <v>84</v>
      </c>
      <c r="BA496" t="s">
        <v>80</v>
      </c>
      <c r="BB496" t="s">
        <v>79</v>
      </c>
      <c r="BD496" t="s">
        <v>79</v>
      </c>
      <c r="BG496" t="s">
        <v>82</v>
      </c>
      <c r="BH496">
        <v>12</v>
      </c>
      <c r="BI496" t="s">
        <v>267</v>
      </c>
      <c r="BJ496" t="s">
        <v>268</v>
      </c>
      <c r="BK496" t="str">
        <f>"AYD COMPOUND"</f>
        <v>AYD COMPOUND</v>
      </c>
      <c r="BL496" t="str">
        <f>"BEACH ROAD, SAN ANTONIO"</f>
        <v>BEACH ROAD, SAN ANTONIO</v>
      </c>
      <c r="BM496" t="str">
        <f>"SAIPAN"</f>
        <v>SAIPAN</v>
      </c>
      <c r="BO496" t="s">
        <v>83</v>
      </c>
      <c r="BP496" s="4" t="str">
        <f t="shared" si="276"/>
        <v>96950</v>
      </c>
      <c r="BQ496" t="s">
        <v>79</v>
      </c>
      <c r="BR496" t="str">
        <f>"49-3023.00"</f>
        <v>49-3023.00</v>
      </c>
      <c r="BS496" t="s">
        <v>269</v>
      </c>
      <c r="BT496" s="3">
        <v>9.93</v>
      </c>
      <c r="BU496" t="s">
        <v>80</v>
      </c>
      <c r="BV496" t="s">
        <v>90</v>
      </c>
      <c r="BW496" t="s">
        <v>92</v>
      </c>
      <c r="BZ496" s="1">
        <v>45107</v>
      </c>
    </row>
    <row r="497" spans="1:78" ht="15" customHeight="1" x14ac:dyDescent="0.25">
      <c r="A497" t="s">
        <v>217</v>
      </c>
      <c r="B497" t="s">
        <v>94</v>
      </c>
      <c r="C497" s="1">
        <v>44798</v>
      </c>
      <c r="D497" s="1">
        <v>44845</v>
      </c>
      <c r="H497" t="s">
        <v>78</v>
      </c>
      <c r="I497" t="str">
        <f>"Lam"</f>
        <v>Lam</v>
      </c>
      <c r="J497" t="str">
        <f>"Maxine"</f>
        <v>Maxine</v>
      </c>
      <c r="K497" t="str">
        <f>""</f>
        <v/>
      </c>
      <c r="L497" t="str">
        <f>"HR Manager"</f>
        <v>HR Manager</v>
      </c>
      <c r="M497" t="str">
        <f>"Insatto Street, Susupe PO BOX 500137"</f>
        <v>Insatto Street, Susupe PO BOX 500137</v>
      </c>
      <c r="N497" t="str">
        <f>"Insatto Street, Susupe PO BOX 500137"</f>
        <v>Insatto Street, Susupe PO BOX 500137</v>
      </c>
      <c r="O497" t="str">
        <f>"Saipan"</f>
        <v>Saipan</v>
      </c>
      <c r="P497" t="str">
        <f t="shared" si="271"/>
        <v>MP</v>
      </c>
      <c r="Q497" s="4" t="str">
        <f t="shared" si="274"/>
        <v>96950</v>
      </c>
      <c r="R497" t="str">
        <f t="shared" si="272"/>
        <v>UNITED STATES OF AMERICA</v>
      </c>
      <c r="S497" t="str">
        <f>""</f>
        <v/>
      </c>
      <c r="T497" s="5" t="str">
        <f>"16702346445"</f>
        <v>16702346445</v>
      </c>
      <c r="U497" t="str">
        <f>"2263"</f>
        <v>2263</v>
      </c>
      <c r="V497" s="5" t="str">
        <f>""</f>
        <v/>
      </c>
      <c r="W497" t="str">
        <f>"hrd@joeten.com"</f>
        <v>hrd@joeten.com</v>
      </c>
      <c r="X497" t="str">
        <f>"Ace Hardware (CNMI), Inc"</f>
        <v>Ace Hardware (CNMI), Inc</v>
      </c>
      <c r="Y497" t="str">
        <f>""</f>
        <v/>
      </c>
      <c r="Z497" t="str">
        <f>"Europa Place, Gualo Rai PO Box 500137"</f>
        <v>Europa Place, Gualo Rai PO Box 500137</v>
      </c>
      <c r="AA497" t="str">
        <f>"Europa Place, Gualo Rai PO Box 500137"</f>
        <v>Europa Place, Gualo Rai PO Box 500137</v>
      </c>
      <c r="AB497" t="str">
        <f>"Saipan"</f>
        <v>Saipan</v>
      </c>
      <c r="AC497" t="str">
        <f t="shared" si="270"/>
        <v>MP</v>
      </c>
      <c r="AD497" t="str">
        <f t="shared" si="275"/>
        <v>96950</v>
      </c>
      <c r="AE497" t="str">
        <f t="shared" si="273"/>
        <v>UNITED STATES OF AMERICA</v>
      </c>
      <c r="AF497" t="str">
        <f>""</f>
        <v/>
      </c>
      <c r="AG497" s="4" t="str">
        <f>"16702346445"</f>
        <v>16702346445</v>
      </c>
      <c r="AH497" t="str">
        <f>"2263"</f>
        <v>2263</v>
      </c>
      <c r="AI497" t="str">
        <f>"44413"</f>
        <v>44413</v>
      </c>
      <c r="AJ497" t="s">
        <v>79</v>
      </c>
      <c r="AK497" t="s">
        <v>79</v>
      </c>
      <c r="AL497" t="s">
        <v>80</v>
      </c>
      <c r="AM497" t="s">
        <v>79</v>
      </c>
      <c r="AP497" t="str">
        <f>"Bookkeeper"</f>
        <v>Bookkeeper</v>
      </c>
      <c r="AQ497" t="str">
        <f>"43-3031.00"</f>
        <v>43-3031.00</v>
      </c>
      <c r="AR497" t="str">
        <f>"Bookkeeping, Accounting, and Auditing Clerks"</f>
        <v>Bookkeeping, Accounting, and Auditing Clerks</v>
      </c>
      <c r="AS497" t="str">
        <f>"General Manager"</f>
        <v>General Manager</v>
      </c>
      <c r="AT497" t="s">
        <v>79</v>
      </c>
      <c r="AU497" t="str">
        <f>""</f>
        <v/>
      </c>
      <c r="AV497" t="str">
        <f>""</f>
        <v/>
      </c>
      <c r="AW497" t="s">
        <v>79</v>
      </c>
      <c r="AX497" t="str">
        <f>""</f>
        <v/>
      </c>
      <c r="AY497" t="s">
        <v>124</v>
      </c>
      <c r="BA497" t="s">
        <v>80</v>
      </c>
      <c r="BB497" t="s">
        <v>79</v>
      </c>
      <c r="BD497" t="s">
        <v>79</v>
      </c>
      <c r="BG497" t="s">
        <v>82</v>
      </c>
      <c r="BH497">
        <v>24</v>
      </c>
      <c r="BI497" t="s">
        <v>218</v>
      </c>
      <c r="BJ497" s="2" t="s">
        <v>219</v>
      </c>
      <c r="BK497" t="str">
        <f>"Europa Place, Gualo Rai PO BOX 500137"</f>
        <v>Europa Place, Gualo Rai PO BOX 500137</v>
      </c>
      <c r="BL497" t="str">
        <f>"Europa Place, Gualo Rai PO BOX 500137"</f>
        <v>Europa Place, Gualo Rai PO BOX 500137</v>
      </c>
      <c r="BM497" t="str">
        <f>"Saipan"</f>
        <v>Saipan</v>
      </c>
      <c r="BO497" t="s">
        <v>83</v>
      </c>
      <c r="BP497" s="4" t="str">
        <f t="shared" si="276"/>
        <v>96950</v>
      </c>
      <c r="BQ497" t="s">
        <v>79</v>
      </c>
      <c r="BR497" t="str">
        <f>"43-3031.00"</f>
        <v>43-3031.00</v>
      </c>
      <c r="BS497" t="s">
        <v>142</v>
      </c>
      <c r="BT497" s="3">
        <v>11.21</v>
      </c>
      <c r="BU497" t="s">
        <v>80</v>
      </c>
      <c r="BV497" t="s">
        <v>90</v>
      </c>
      <c r="BW497" t="s">
        <v>92</v>
      </c>
      <c r="BZ497" s="1">
        <v>45107</v>
      </c>
    </row>
    <row r="498" spans="1:78" ht="15" customHeight="1" x14ac:dyDescent="0.25">
      <c r="A498" t="s">
        <v>245</v>
      </c>
      <c r="B498" t="s">
        <v>94</v>
      </c>
      <c r="C498" s="1">
        <v>44800</v>
      </c>
      <c r="D498" s="1">
        <v>44840</v>
      </c>
      <c r="H498" t="s">
        <v>78</v>
      </c>
      <c r="I498" t="str">
        <f>"PANG"</f>
        <v>PANG</v>
      </c>
      <c r="J498" t="str">
        <f>"KOK"</f>
        <v>KOK</v>
      </c>
      <c r="K498" t="str">
        <f>"HIONG"</f>
        <v>HIONG</v>
      </c>
      <c r="L498" t="str">
        <f>"DIRECTOR OF RELIGIOUS EDUCATION"</f>
        <v>DIRECTOR OF RELIGIOUS EDUCATION</v>
      </c>
      <c r="M498" t="str">
        <f>"BOX 10001 PMB 466"</f>
        <v>BOX 10001 PMB 466</v>
      </c>
      <c r="N498" t="str">
        <f>""</f>
        <v/>
      </c>
      <c r="O498" t="str">
        <f>"SAIPAN"</f>
        <v>SAIPAN</v>
      </c>
      <c r="P498" t="str">
        <f t="shared" si="271"/>
        <v>MP</v>
      </c>
      <c r="Q498" s="4" t="str">
        <f t="shared" si="274"/>
        <v>96950</v>
      </c>
      <c r="R498" t="str">
        <f t="shared" si="272"/>
        <v>UNITED STATES OF AMERICA</v>
      </c>
      <c r="S498" t="str">
        <f>""</f>
        <v/>
      </c>
      <c r="T498" s="5" t="str">
        <f>"16709898570"</f>
        <v>16709898570</v>
      </c>
      <c r="U498" t="str">
        <f>""</f>
        <v/>
      </c>
      <c r="V498" s="5" t="str">
        <f>""</f>
        <v/>
      </c>
      <c r="W498" t="str">
        <f>"acssaipan@gmail.com"</f>
        <v>acssaipan@gmail.com</v>
      </c>
      <c r="X498" t="str">
        <f>"Calvary International Mission"</f>
        <v>Calvary International Mission</v>
      </c>
      <c r="Y498" t="str">
        <f>"Agape Christian School"</f>
        <v>Agape Christian School</v>
      </c>
      <c r="Z498" t="str">
        <f>"Box 10001 PMB 466"</f>
        <v>Box 10001 PMB 466</v>
      </c>
      <c r="AA498" t="str">
        <f>""</f>
        <v/>
      </c>
      <c r="AB498" t="str">
        <f>"Saipan"</f>
        <v>Saipan</v>
      </c>
      <c r="AC498" t="str">
        <f t="shared" si="270"/>
        <v>MP</v>
      </c>
      <c r="AD498" t="str">
        <f t="shared" si="275"/>
        <v>96950</v>
      </c>
      <c r="AE498" t="str">
        <f t="shared" si="273"/>
        <v>UNITED STATES OF AMERICA</v>
      </c>
      <c r="AF498" t="str">
        <f>""</f>
        <v/>
      </c>
      <c r="AG498" s="4" t="str">
        <f>"16709898570"</f>
        <v>16709898570</v>
      </c>
      <c r="AH498" t="str">
        <f>""</f>
        <v/>
      </c>
      <c r="AI498" t="str">
        <f>"6111"</f>
        <v>6111</v>
      </c>
      <c r="AJ498" t="s">
        <v>79</v>
      </c>
      <c r="AK498" t="s">
        <v>79</v>
      </c>
      <c r="AL498" t="s">
        <v>80</v>
      </c>
      <c r="AM498" t="s">
        <v>79</v>
      </c>
      <c r="AP498" t="str">
        <f>"Assistant Teacher"</f>
        <v>Assistant Teacher</v>
      </c>
      <c r="AQ498" t="str">
        <f>"25-9049.00"</f>
        <v>25-9049.00</v>
      </c>
      <c r="AR498" t="str">
        <f>"Teaching Assistants, All Other"</f>
        <v>Teaching Assistants, All Other</v>
      </c>
      <c r="AS498" t="str">
        <f>"school director"</f>
        <v>school director</v>
      </c>
      <c r="AT498" t="s">
        <v>79</v>
      </c>
      <c r="AU498" t="str">
        <f>""</f>
        <v/>
      </c>
      <c r="AV498" t="str">
        <f>""</f>
        <v/>
      </c>
      <c r="AW498" t="s">
        <v>79</v>
      </c>
      <c r="AX498" t="str">
        <f>""</f>
        <v/>
      </c>
      <c r="AY498" t="s">
        <v>84</v>
      </c>
      <c r="BA498" t="s">
        <v>246</v>
      </c>
      <c r="BB498" t="s">
        <v>79</v>
      </c>
      <c r="BD498" t="s">
        <v>79</v>
      </c>
      <c r="BG498" t="s">
        <v>82</v>
      </c>
      <c r="BH498">
        <v>24</v>
      </c>
      <c r="BI498" t="s">
        <v>247</v>
      </c>
      <c r="BJ498" t="s">
        <v>248</v>
      </c>
      <c r="BK498" t="str">
        <f>"Box 10001 PMB 466"</f>
        <v>Box 10001 PMB 466</v>
      </c>
      <c r="BL498" t="str">
        <f>"GUALO RAI"</f>
        <v>GUALO RAI</v>
      </c>
      <c r="BM498" t="str">
        <f>"SAIPAN"</f>
        <v>SAIPAN</v>
      </c>
      <c r="BO498" t="s">
        <v>83</v>
      </c>
      <c r="BP498" s="4" t="str">
        <f t="shared" si="276"/>
        <v>96950</v>
      </c>
      <c r="BQ498" t="s">
        <v>79</v>
      </c>
      <c r="BR498" t="str">
        <f>"25-2021.00"</f>
        <v>25-2021.00</v>
      </c>
      <c r="BS498" t="s">
        <v>249</v>
      </c>
      <c r="BT498" s="3">
        <v>16.940000000000001</v>
      </c>
      <c r="BU498" t="s">
        <v>80</v>
      </c>
      <c r="BV498" t="s">
        <v>90</v>
      </c>
      <c r="BW498" t="s">
        <v>92</v>
      </c>
      <c r="BZ498" s="1">
        <v>45107</v>
      </c>
    </row>
    <row r="499" spans="1:78" ht="15" customHeight="1" x14ac:dyDescent="0.25">
      <c r="A499" t="s">
        <v>250</v>
      </c>
      <c r="B499" t="s">
        <v>94</v>
      </c>
      <c r="C499" s="1">
        <v>44800</v>
      </c>
      <c r="D499" s="1">
        <v>44840</v>
      </c>
      <c r="H499" t="s">
        <v>78</v>
      </c>
      <c r="I499" t="str">
        <f>"ALINAS"</f>
        <v>ALINAS</v>
      </c>
      <c r="J499" t="str">
        <f>"ELEANOR"</f>
        <v>ELEANOR</v>
      </c>
      <c r="K499" t="str">
        <f>"BALANSAG"</f>
        <v>BALANSAG</v>
      </c>
      <c r="L499" t="str">
        <f>"President"</f>
        <v>President</v>
      </c>
      <c r="M499" t="str">
        <f>"Agingan Lane, San Antonio Village"</f>
        <v>Agingan Lane, San Antonio Village</v>
      </c>
      <c r="N499" t="str">
        <f>"P. O. Box 505656"</f>
        <v>P. O. Box 505656</v>
      </c>
      <c r="O499" t="str">
        <f>"Saipan"</f>
        <v>Saipan</v>
      </c>
      <c r="P499" t="str">
        <f t="shared" si="271"/>
        <v>MP</v>
      </c>
      <c r="Q499" s="4" t="str">
        <f t="shared" si="274"/>
        <v>96950</v>
      </c>
      <c r="R499" t="str">
        <f t="shared" si="272"/>
        <v>UNITED STATES OF AMERICA</v>
      </c>
      <c r="S499" t="str">
        <f>""</f>
        <v/>
      </c>
      <c r="T499" s="5" t="str">
        <f>"16702353027"</f>
        <v>16702353027</v>
      </c>
      <c r="U499" t="str">
        <f>""</f>
        <v/>
      </c>
      <c r="V499" s="5" t="str">
        <f>""</f>
        <v/>
      </c>
      <c r="W499" t="str">
        <f>"konstructcorp.spn@gmail.com"</f>
        <v>konstructcorp.spn@gmail.com</v>
      </c>
      <c r="X499" t="str">
        <f>"Konstruct Corporation"</f>
        <v>Konstruct Corporation</v>
      </c>
      <c r="Y499" t="str">
        <f>""</f>
        <v/>
      </c>
      <c r="Z499" t="str">
        <f>"Agingan Lane,  San Antonio Village"</f>
        <v>Agingan Lane,  San Antonio Village</v>
      </c>
      <c r="AA499" t="str">
        <f>"P.O. Box 505656"</f>
        <v>P.O. Box 505656</v>
      </c>
      <c r="AB499" t="str">
        <f>"Saipan"</f>
        <v>Saipan</v>
      </c>
      <c r="AC499" t="str">
        <f t="shared" si="270"/>
        <v>MP</v>
      </c>
      <c r="AD499" t="str">
        <f t="shared" si="275"/>
        <v>96950</v>
      </c>
      <c r="AE499" t="str">
        <f t="shared" si="273"/>
        <v>UNITED STATES OF AMERICA</v>
      </c>
      <c r="AF499" t="str">
        <f>""</f>
        <v/>
      </c>
      <c r="AG499" s="4" t="str">
        <f>"16702353027"</f>
        <v>16702353027</v>
      </c>
      <c r="AH499" t="str">
        <f>""</f>
        <v/>
      </c>
      <c r="AI499" t="str">
        <f>"23622"</f>
        <v>23622</v>
      </c>
      <c r="AJ499" t="s">
        <v>79</v>
      </c>
      <c r="AK499" t="s">
        <v>79</v>
      </c>
      <c r="AL499" t="s">
        <v>80</v>
      </c>
      <c r="AM499" t="s">
        <v>79</v>
      </c>
      <c r="AP499" t="str">
        <f>"Maintenance Engineer"</f>
        <v>Maintenance Engineer</v>
      </c>
      <c r="AQ499" t="str">
        <f>"49-9071.00"</f>
        <v>49-9071.00</v>
      </c>
      <c r="AR499" t="str">
        <f>"Maintenance and Repair Workers, General"</f>
        <v>Maintenance and Repair Workers, General</v>
      </c>
      <c r="AS499" t="str">
        <f>"Manager"</f>
        <v>Manager</v>
      </c>
      <c r="AT499" t="s">
        <v>79</v>
      </c>
      <c r="AU499" t="str">
        <f>""</f>
        <v/>
      </c>
      <c r="AV499" t="str">
        <f>""</f>
        <v/>
      </c>
      <c r="AW499" t="s">
        <v>79</v>
      </c>
      <c r="AX499" t="str">
        <f>""</f>
        <v/>
      </c>
      <c r="AY499" t="s">
        <v>84</v>
      </c>
      <c r="BA499" t="s">
        <v>80</v>
      </c>
      <c r="BB499" t="s">
        <v>79</v>
      </c>
      <c r="BD499" t="s">
        <v>79</v>
      </c>
      <c r="BG499" t="s">
        <v>82</v>
      </c>
      <c r="BH499">
        <v>12</v>
      </c>
      <c r="BI499" t="s">
        <v>251</v>
      </c>
      <c r="BJ499" t="s">
        <v>252</v>
      </c>
      <c r="BK499" t="str">
        <f>"Agingan Lane, San Antonio Village, "</f>
        <v xml:space="preserve">Agingan Lane, San Antonio Village, </v>
      </c>
      <c r="BL499" t="str">
        <f>"P.O. Box 505656"</f>
        <v>P.O. Box 505656</v>
      </c>
      <c r="BM499" t="str">
        <f>"Saipan"</f>
        <v>Saipan</v>
      </c>
      <c r="BO499" t="s">
        <v>83</v>
      </c>
      <c r="BP499" s="4" t="str">
        <f t="shared" si="276"/>
        <v>96950</v>
      </c>
      <c r="BQ499" t="s">
        <v>79</v>
      </c>
      <c r="BR499" t="str">
        <f>"49-9071.00"</f>
        <v>49-9071.00</v>
      </c>
      <c r="BS499" t="s">
        <v>146</v>
      </c>
      <c r="BT499" s="3">
        <v>9.19</v>
      </c>
      <c r="BU499" t="s">
        <v>80</v>
      </c>
      <c r="BV499" t="s">
        <v>90</v>
      </c>
      <c r="BW499" t="s">
        <v>92</v>
      </c>
      <c r="BZ499" s="1">
        <v>45107</v>
      </c>
    </row>
    <row r="500" spans="1:78" ht="15" customHeight="1" x14ac:dyDescent="0.25">
      <c r="A500" t="s">
        <v>253</v>
      </c>
      <c r="B500" t="s">
        <v>94</v>
      </c>
      <c r="C500" s="1">
        <v>44800</v>
      </c>
      <c r="D500" s="1">
        <v>44840</v>
      </c>
      <c r="H500" t="s">
        <v>78</v>
      </c>
      <c r="I500" t="str">
        <f>"LEGASPI"</f>
        <v>LEGASPI</v>
      </c>
      <c r="J500" t="str">
        <f>"ALDRIN"</f>
        <v>ALDRIN</v>
      </c>
      <c r="K500" t="str">
        <f>"VILLANUEVA"</f>
        <v>VILLANUEVA</v>
      </c>
      <c r="L500" t="str">
        <f>"MANAGER"</f>
        <v>MANAGER</v>
      </c>
      <c r="M500" t="str">
        <f>"MARIANAS BUSINESS PLAZA, SUSUPE, 1F"</f>
        <v>MARIANAS BUSINESS PLAZA, SUSUPE, 1F</v>
      </c>
      <c r="N500" t="str">
        <f>"1F SUITE 100"</f>
        <v>1F SUITE 100</v>
      </c>
      <c r="O500" t="str">
        <f>"SAIPAN"</f>
        <v>SAIPAN</v>
      </c>
      <c r="P500" t="str">
        <f t="shared" si="271"/>
        <v>MP</v>
      </c>
      <c r="Q500" s="4" t="str">
        <f t="shared" si="274"/>
        <v>96950</v>
      </c>
      <c r="R500" t="str">
        <f t="shared" si="272"/>
        <v>UNITED STATES OF AMERICA</v>
      </c>
      <c r="S500" t="str">
        <f>"NMI"</f>
        <v>NMI</v>
      </c>
      <c r="T500" s="5" t="str">
        <f>"16702344000"</f>
        <v>16702344000</v>
      </c>
      <c r="U500" t="str">
        <f>""</f>
        <v/>
      </c>
      <c r="V500" s="5" t="str">
        <f>""</f>
        <v/>
      </c>
      <c r="W500" t="str">
        <f>"aldrin.fmcorporation@gmail.com"</f>
        <v>aldrin.fmcorporation@gmail.com</v>
      </c>
      <c r="X500" t="str">
        <f>"FM CORPORATION"</f>
        <v>FM CORPORATION</v>
      </c>
      <c r="Y500" t="str">
        <f>"FM MANPOWER"</f>
        <v>FM MANPOWER</v>
      </c>
      <c r="Z500" t="str">
        <f>"MARIANAS BUSINESS PLAZA, SUSUPE, 1F"</f>
        <v>MARIANAS BUSINESS PLAZA, SUSUPE, 1F</v>
      </c>
      <c r="AA500" t="str">
        <f>"1F SUITE 100"</f>
        <v>1F SUITE 100</v>
      </c>
      <c r="AB500" t="str">
        <f>"SAIPAN"</f>
        <v>SAIPAN</v>
      </c>
      <c r="AC500" t="str">
        <f t="shared" si="270"/>
        <v>MP</v>
      </c>
      <c r="AD500" t="str">
        <f t="shared" si="275"/>
        <v>96950</v>
      </c>
      <c r="AE500" t="str">
        <f t="shared" si="273"/>
        <v>UNITED STATES OF AMERICA</v>
      </c>
      <c r="AF500" t="str">
        <f>"NMI"</f>
        <v>NMI</v>
      </c>
      <c r="AG500" s="4" t="str">
        <f>"16702344000"</f>
        <v>16702344000</v>
      </c>
      <c r="AH500" t="str">
        <f>""</f>
        <v/>
      </c>
      <c r="AI500" t="str">
        <f>"561320"</f>
        <v>561320</v>
      </c>
      <c r="AJ500" t="s">
        <v>79</v>
      </c>
      <c r="AK500" t="s">
        <v>79</v>
      </c>
      <c r="AL500" t="s">
        <v>80</v>
      </c>
      <c r="AM500" t="s">
        <v>79</v>
      </c>
      <c r="AP500" t="str">
        <f>"ACCOUNTANT"</f>
        <v>ACCOUNTANT</v>
      </c>
      <c r="AQ500" t="str">
        <f>"13-2011.00"</f>
        <v>13-2011.00</v>
      </c>
      <c r="AR500" t="str">
        <f>"Accountants and Auditors"</f>
        <v>Accountants and Auditors</v>
      </c>
      <c r="AS500" t="str">
        <f>"N/A"</f>
        <v>N/A</v>
      </c>
      <c r="AT500" t="s">
        <v>79</v>
      </c>
      <c r="AU500" t="str">
        <f>""</f>
        <v/>
      </c>
      <c r="AV500" t="str">
        <f>""</f>
        <v/>
      </c>
      <c r="AW500" t="s">
        <v>79</v>
      </c>
      <c r="AX500" t="str">
        <f>""</f>
        <v/>
      </c>
      <c r="AY500" t="s">
        <v>95</v>
      </c>
      <c r="BA500" t="s">
        <v>204</v>
      </c>
      <c r="BB500" t="s">
        <v>79</v>
      </c>
      <c r="BD500" t="s">
        <v>82</v>
      </c>
      <c r="BE500">
        <v>3</v>
      </c>
      <c r="BF500" t="s">
        <v>254</v>
      </c>
      <c r="BG500" t="s">
        <v>82</v>
      </c>
      <c r="BH500">
        <v>24</v>
      </c>
      <c r="BI500" t="s">
        <v>255</v>
      </c>
      <c r="BJ500" t="s">
        <v>256</v>
      </c>
      <c r="BK500" t="str">
        <f>"MARIANAS BUSINESS PLAZA, SUSUPE, 1F"</f>
        <v>MARIANAS BUSINESS PLAZA, SUSUPE, 1F</v>
      </c>
      <c r="BL500" t="str">
        <f>"1F SUITE 100"</f>
        <v>1F SUITE 100</v>
      </c>
      <c r="BM500" t="str">
        <f>"SAIPAN"</f>
        <v>SAIPAN</v>
      </c>
      <c r="BO500" t="s">
        <v>83</v>
      </c>
      <c r="BP500" s="4" t="str">
        <f t="shared" si="276"/>
        <v>96950</v>
      </c>
      <c r="BQ500" t="s">
        <v>79</v>
      </c>
      <c r="BR500" t="str">
        <f>"43-3031.00"</f>
        <v>43-3031.00</v>
      </c>
      <c r="BS500" t="s">
        <v>142</v>
      </c>
      <c r="BT500" s="3">
        <v>11.21</v>
      </c>
      <c r="BU500" t="s">
        <v>80</v>
      </c>
      <c r="BV500" t="s">
        <v>90</v>
      </c>
      <c r="BW500" t="s">
        <v>92</v>
      </c>
      <c r="BZ500" s="1">
        <v>45107</v>
      </c>
    </row>
    <row r="501" spans="1:78" ht="15" customHeight="1" x14ac:dyDescent="0.25">
      <c r="A501" t="s">
        <v>257</v>
      </c>
      <c r="B501" t="s">
        <v>94</v>
      </c>
      <c r="C501" s="1">
        <v>44800</v>
      </c>
      <c r="D501" s="1">
        <v>44840</v>
      </c>
      <c r="H501" t="s">
        <v>78</v>
      </c>
      <c r="I501" t="str">
        <f>"LEGASPI"</f>
        <v>LEGASPI</v>
      </c>
      <c r="J501" t="str">
        <f>"ALDRIN"</f>
        <v>ALDRIN</v>
      </c>
      <c r="K501" t="str">
        <f>"VILLANUEVA"</f>
        <v>VILLANUEVA</v>
      </c>
      <c r="L501" t="str">
        <f>"MANAGER"</f>
        <v>MANAGER</v>
      </c>
      <c r="M501" t="str">
        <f>"MARIANAS BUSINESS PLAZA, SUSUPE, 1F"</f>
        <v>MARIANAS BUSINESS PLAZA, SUSUPE, 1F</v>
      </c>
      <c r="N501" t="str">
        <f>"1F SUITE 100"</f>
        <v>1F SUITE 100</v>
      </c>
      <c r="O501" t="str">
        <f>"SAIPAN"</f>
        <v>SAIPAN</v>
      </c>
      <c r="P501" t="str">
        <f t="shared" si="271"/>
        <v>MP</v>
      </c>
      <c r="Q501" s="4" t="str">
        <f t="shared" si="274"/>
        <v>96950</v>
      </c>
      <c r="R501" t="str">
        <f t="shared" si="272"/>
        <v>UNITED STATES OF AMERICA</v>
      </c>
      <c r="S501" t="str">
        <f>"NMI"</f>
        <v>NMI</v>
      </c>
      <c r="T501" s="5" t="str">
        <f>"16702344000"</f>
        <v>16702344000</v>
      </c>
      <c r="U501" t="str">
        <f>""</f>
        <v/>
      </c>
      <c r="V501" s="5" t="str">
        <f>""</f>
        <v/>
      </c>
      <c r="W501" t="str">
        <f>"aldrin.fmcorporation@gmail.com"</f>
        <v>aldrin.fmcorporation@gmail.com</v>
      </c>
      <c r="X501" t="str">
        <f>"FM CORPORATION"</f>
        <v>FM CORPORATION</v>
      </c>
      <c r="Y501" t="str">
        <f>"FM MANPOWER"</f>
        <v>FM MANPOWER</v>
      </c>
      <c r="Z501" t="str">
        <f>"MARIANAS BUSINESS PLAZA, SUSUPE, 1F"</f>
        <v>MARIANAS BUSINESS PLAZA, SUSUPE, 1F</v>
      </c>
      <c r="AA501" t="str">
        <f>"1F SUITE 100"</f>
        <v>1F SUITE 100</v>
      </c>
      <c r="AB501" t="str">
        <f>"SAIPAN"</f>
        <v>SAIPAN</v>
      </c>
      <c r="AC501" t="str">
        <f t="shared" si="270"/>
        <v>MP</v>
      </c>
      <c r="AD501" t="str">
        <f t="shared" si="275"/>
        <v>96950</v>
      </c>
      <c r="AE501" t="str">
        <f t="shared" si="273"/>
        <v>UNITED STATES OF AMERICA</v>
      </c>
      <c r="AF501" t="str">
        <f>"NMI"</f>
        <v>NMI</v>
      </c>
      <c r="AG501" s="4" t="str">
        <f>"16702344000"</f>
        <v>16702344000</v>
      </c>
      <c r="AH501" t="str">
        <f>""</f>
        <v/>
      </c>
      <c r="AI501" t="str">
        <f>"561320"</f>
        <v>561320</v>
      </c>
      <c r="AJ501" t="s">
        <v>79</v>
      </c>
      <c r="AK501" t="s">
        <v>79</v>
      </c>
      <c r="AL501" t="s">
        <v>80</v>
      </c>
      <c r="AM501" t="s">
        <v>79</v>
      </c>
      <c r="AP501" t="str">
        <f>"ACCOUNTANT"</f>
        <v>ACCOUNTANT</v>
      </c>
      <c r="AQ501" t="str">
        <f>"13-2011.00"</f>
        <v>13-2011.00</v>
      </c>
      <c r="AR501" t="str">
        <f>"Accountants and Auditors"</f>
        <v>Accountants and Auditors</v>
      </c>
      <c r="AS501" t="str">
        <f>"N/A"</f>
        <v>N/A</v>
      </c>
      <c r="AT501" t="s">
        <v>79</v>
      </c>
      <c r="AU501" t="str">
        <f>""</f>
        <v/>
      </c>
      <c r="AV501" t="str">
        <f>""</f>
        <v/>
      </c>
      <c r="AW501" t="s">
        <v>79</v>
      </c>
      <c r="AX501" t="str">
        <f>""</f>
        <v/>
      </c>
      <c r="AY501" t="s">
        <v>95</v>
      </c>
      <c r="BA501" t="s">
        <v>204</v>
      </c>
      <c r="BB501" t="s">
        <v>79</v>
      </c>
      <c r="BD501" t="s">
        <v>82</v>
      </c>
      <c r="BE501">
        <v>3</v>
      </c>
      <c r="BF501" t="s">
        <v>258</v>
      </c>
      <c r="BG501" t="s">
        <v>82</v>
      </c>
      <c r="BH501">
        <v>24</v>
      </c>
      <c r="BI501" t="s">
        <v>255</v>
      </c>
      <c r="BJ501" t="s">
        <v>256</v>
      </c>
      <c r="BK501" t="str">
        <f>"MARIANAS BUSINESS PLAZA, SUSUPE, 1F"</f>
        <v>MARIANAS BUSINESS PLAZA, SUSUPE, 1F</v>
      </c>
      <c r="BL501" t="str">
        <f>"1F SUITE 100"</f>
        <v>1F SUITE 100</v>
      </c>
      <c r="BM501" t="str">
        <f>"SAIPAN"</f>
        <v>SAIPAN</v>
      </c>
      <c r="BO501" t="s">
        <v>83</v>
      </c>
      <c r="BP501" s="4" t="str">
        <f t="shared" si="276"/>
        <v>96950</v>
      </c>
      <c r="BQ501" t="s">
        <v>79</v>
      </c>
      <c r="BR501" t="str">
        <f>"43-3031.00"</f>
        <v>43-3031.00</v>
      </c>
      <c r="BS501" t="s">
        <v>142</v>
      </c>
      <c r="BT501" s="3">
        <v>11.21</v>
      </c>
      <c r="BU501" t="s">
        <v>80</v>
      </c>
      <c r="BV501" t="s">
        <v>90</v>
      </c>
      <c r="BW501" t="s">
        <v>92</v>
      </c>
      <c r="BZ501" s="1">
        <v>45107</v>
      </c>
    </row>
    <row r="502" spans="1:78" ht="15" customHeight="1" x14ac:dyDescent="0.25">
      <c r="A502" t="s">
        <v>240</v>
      </c>
      <c r="B502" t="s">
        <v>94</v>
      </c>
      <c r="C502" s="1">
        <v>44799</v>
      </c>
      <c r="D502" s="1">
        <v>44840</v>
      </c>
      <c r="H502" t="s">
        <v>78</v>
      </c>
      <c r="I502" t="str">
        <f>"MADAMBA"</f>
        <v>MADAMBA</v>
      </c>
      <c r="J502" t="str">
        <f>"MARYGRACE"</f>
        <v>MARYGRACE</v>
      </c>
      <c r="K502" t="str">
        <f>"DALEN"</f>
        <v>DALEN</v>
      </c>
      <c r="L502" t="str">
        <f>"NANNY"</f>
        <v>NANNY</v>
      </c>
      <c r="M502" t="str">
        <f>"124-42A STREET AL BUTEEN"</f>
        <v>124-42A STREET AL BUTEEN</v>
      </c>
      <c r="N502" t="str">
        <f>"KUWAITI BLDG. APT 303"</f>
        <v>KUWAITI BLDG. APT 303</v>
      </c>
      <c r="O502" t="str">
        <f>"AL RIGGA DEIRA "</f>
        <v xml:space="preserve">AL RIGGA DEIRA </v>
      </c>
      <c r="P502" t="str">
        <f>"NA"</f>
        <v>NA</v>
      </c>
      <c r="Q502" s="4" t="str">
        <f>"35551"</f>
        <v>35551</v>
      </c>
      <c r="R502" t="str">
        <f>"UNITED ARAB EMIRATES"</f>
        <v>UNITED ARAB EMIRATES</v>
      </c>
      <c r="S502" t="str">
        <f>"DUBAI"</f>
        <v>DUBAI</v>
      </c>
      <c r="T502" s="5" t="str">
        <f>"971569294419"</f>
        <v>971569294419</v>
      </c>
      <c r="U502" t="str">
        <f>""</f>
        <v/>
      </c>
      <c r="V502" s="5" t="str">
        <f>""</f>
        <v/>
      </c>
      <c r="W502" t="str">
        <f>"madambamarygrace020@gmail.com"</f>
        <v>madambamarygrace020@gmail.com</v>
      </c>
      <c r="X502" t="str">
        <f>"LUPE PIERCE"</f>
        <v>LUPE PIERCE</v>
      </c>
      <c r="Y502" t="str">
        <f>""</f>
        <v/>
      </c>
      <c r="Z502" t="str">
        <f>"35 Church St, "</f>
        <v xml:space="preserve">35 Church St, </v>
      </c>
      <c r="AA502" t="str">
        <f>"APT 22"</f>
        <v>APT 22</v>
      </c>
      <c r="AB502" t="str">
        <f>"East Providence"</f>
        <v>East Providence</v>
      </c>
      <c r="AC502" t="str">
        <f>"RI"</f>
        <v>RI</v>
      </c>
      <c r="AD502" t="str">
        <f>"02914"</f>
        <v>02914</v>
      </c>
      <c r="AE502" t="str">
        <f t="shared" si="273"/>
        <v>UNITED STATES OF AMERICA</v>
      </c>
      <c r="AF502" t="str">
        <f>""</f>
        <v/>
      </c>
      <c r="AG502" s="4" t="str">
        <f>"19176604222"</f>
        <v>19176604222</v>
      </c>
      <c r="AH502" t="str">
        <f>""</f>
        <v/>
      </c>
      <c r="AI502" t="str">
        <f>"8141"</f>
        <v>8141</v>
      </c>
      <c r="AJ502" t="s">
        <v>79</v>
      </c>
      <c r="AK502" t="s">
        <v>79</v>
      </c>
      <c r="AL502" t="s">
        <v>80</v>
      </c>
      <c r="AM502" t="s">
        <v>79</v>
      </c>
      <c r="AP502" t="str">
        <f>"NANNY"</f>
        <v>NANNY</v>
      </c>
      <c r="AQ502" t="str">
        <f>""</f>
        <v/>
      </c>
      <c r="AR502" t="str">
        <f>""</f>
        <v/>
      </c>
      <c r="AS502" t="str">
        <f>"LUPE PIERCE"</f>
        <v>LUPE PIERCE</v>
      </c>
      <c r="AT502" t="s">
        <v>79</v>
      </c>
      <c r="AU502" t="str">
        <f>""</f>
        <v/>
      </c>
      <c r="AV502" t="str">
        <f>""</f>
        <v/>
      </c>
      <c r="AW502" t="s">
        <v>79</v>
      </c>
      <c r="AX502" t="str">
        <f>""</f>
        <v/>
      </c>
      <c r="AY502" t="s">
        <v>81</v>
      </c>
      <c r="BA502" t="s">
        <v>80</v>
      </c>
      <c r="BB502" t="s">
        <v>79</v>
      </c>
      <c r="BD502" t="s">
        <v>79</v>
      </c>
      <c r="BG502" t="s">
        <v>79</v>
      </c>
      <c r="BJ502" t="s">
        <v>80</v>
      </c>
      <c r="BK502" t="str">
        <f>"35 Church St"</f>
        <v>35 Church St</v>
      </c>
      <c r="BL502" t="str">
        <f>"Apt 22"</f>
        <v>Apt 22</v>
      </c>
      <c r="BM502" t="str">
        <f>"East Providence- RHODE ISLAND"</f>
        <v>East Providence- RHODE ISLAND</v>
      </c>
      <c r="BO502" t="s">
        <v>83</v>
      </c>
      <c r="BP502" s="4" t="str">
        <f>"02914"</f>
        <v>02914</v>
      </c>
      <c r="BQ502" t="s">
        <v>79</v>
      </c>
      <c r="BR502" t="str">
        <f>"39-9011.01"</f>
        <v>39-9011.01</v>
      </c>
      <c r="BS502" t="s">
        <v>152</v>
      </c>
      <c r="BT502" s="3">
        <v>7.53</v>
      </c>
      <c r="BU502" t="s">
        <v>80</v>
      </c>
      <c r="BV502" t="s">
        <v>90</v>
      </c>
      <c r="BW502" t="s">
        <v>92</v>
      </c>
      <c r="BZ502" s="1">
        <v>45107</v>
      </c>
    </row>
    <row r="503" spans="1:78" ht="15" customHeight="1" x14ac:dyDescent="0.25">
      <c r="A503" t="s">
        <v>241</v>
      </c>
      <c r="B503" t="s">
        <v>94</v>
      </c>
      <c r="C503" s="1">
        <v>44799</v>
      </c>
      <c r="D503" s="1">
        <v>44840</v>
      </c>
      <c r="H503" t="s">
        <v>78</v>
      </c>
      <c r="I503" t="str">
        <f>"JIN"</f>
        <v>JIN</v>
      </c>
      <c r="J503" t="str">
        <f>"WENJI"</f>
        <v>WENJI</v>
      </c>
      <c r="K503" t="str">
        <f>""</f>
        <v/>
      </c>
      <c r="L503" t="str">
        <f>"PRESIDENT"</f>
        <v>PRESIDENT</v>
      </c>
      <c r="M503" t="str">
        <f>"P.O. BOX 505173"</f>
        <v>P.O. BOX 505173</v>
      </c>
      <c r="N503" t="str">
        <f>""</f>
        <v/>
      </c>
      <c r="O503" t="str">
        <f>"SAIPAN"</f>
        <v>SAIPAN</v>
      </c>
      <c r="P503" t="str">
        <f t="shared" ref="P503:P522" si="277">"MP"</f>
        <v>MP</v>
      </c>
      <c r="Q503" s="4" t="str">
        <f t="shared" ref="Q503:Q531" si="278">"96950"</f>
        <v>96950</v>
      </c>
      <c r="R503" t="str">
        <f t="shared" ref="R503:R538" si="279">"UNITED STATES OF AMERICA"</f>
        <v>UNITED STATES OF AMERICA</v>
      </c>
      <c r="S503" t="str">
        <f>""</f>
        <v/>
      </c>
      <c r="T503" s="5" t="str">
        <f>"16702358715"</f>
        <v>16702358715</v>
      </c>
      <c r="U503" t="str">
        <f>""</f>
        <v/>
      </c>
      <c r="V503" s="5" t="str">
        <f>""</f>
        <v/>
      </c>
      <c r="W503" t="str">
        <f>"CHO_JINJOOCORP@YAHOO.COM"</f>
        <v>CHO_JINJOOCORP@YAHOO.COM</v>
      </c>
      <c r="X503" t="str">
        <f>"J W J CO., LTD."</f>
        <v>J W J CO., LTD.</v>
      </c>
      <c r="Y503" t="str">
        <f>"JL MARKET"</f>
        <v>JL MARKET</v>
      </c>
      <c r="Z503" t="str">
        <f>"P.O. BOX 505173"</f>
        <v>P.O. BOX 505173</v>
      </c>
      <c r="AA503" t="str">
        <f>""</f>
        <v/>
      </c>
      <c r="AB503" t="str">
        <f>"SAIPAN"</f>
        <v>SAIPAN</v>
      </c>
      <c r="AC503" t="str">
        <f t="shared" ref="AC503:AC531" si="280">"MP"</f>
        <v>MP</v>
      </c>
      <c r="AD503" t="str">
        <f t="shared" ref="AD503:AD523" si="281">"96950"</f>
        <v>96950</v>
      </c>
      <c r="AE503" t="str">
        <f t="shared" si="273"/>
        <v>UNITED STATES OF AMERICA</v>
      </c>
      <c r="AF503" t="str">
        <f>""</f>
        <v/>
      </c>
      <c r="AG503" s="4" t="str">
        <f>"16702358715"</f>
        <v>16702358715</v>
      </c>
      <c r="AH503" t="str">
        <f>""</f>
        <v/>
      </c>
      <c r="AI503" t="str">
        <f>"4451"</f>
        <v>4451</v>
      </c>
      <c r="AJ503" t="s">
        <v>79</v>
      </c>
      <c r="AK503" t="s">
        <v>79</v>
      </c>
      <c r="AL503" t="s">
        <v>80</v>
      </c>
      <c r="AM503" t="s">
        <v>79</v>
      </c>
      <c r="AP503" t="str">
        <f>"MANAGER"</f>
        <v>MANAGER</v>
      </c>
      <c r="AQ503" t="str">
        <f>""</f>
        <v/>
      </c>
      <c r="AR503" t="str">
        <f>""</f>
        <v/>
      </c>
      <c r="AS503" t="str">
        <f>"NONE"</f>
        <v>NONE</v>
      </c>
      <c r="AT503" t="s">
        <v>82</v>
      </c>
      <c r="AU503" t="str">
        <f>"2"</f>
        <v>2</v>
      </c>
      <c r="AV503" t="str">
        <f>"Subordinate"</f>
        <v>Subordinate</v>
      </c>
      <c r="AW503" t="s">
        <v>79</v>
      </c>
      <c r="AX503" t="str">
        <f>""</f>
        <v/>
      </c>
      <c r="AY503" t="s">
        <v>84</v>
      </c>
      <c r="BA503" t="s">
        <v>80</v>
      </c>
      <c r="BB503" t="s">
        <v>79</v>
      </c>
      <c r="BD503" t="s">
        <v>79</v>
      </c>
      <c r="BG503" t="s">
        <v>82</v>
      </c>
      <c r="BH503">
        <v>12</v>
      </c>
      <c r="BI503" t="s">
        <v>242</v>
      </c>
      <c r="BJ503" t="s">
        <v>243</v>
      </c>
      <c r="BK503" t="str">
        <f>"TEXAS ROAD, SUSUPE VILLAGE"</f>
        <v>TEXAS ROAD, SUSUPE VILLAGE</v>
      </c>
      <c r="BL503" t="str">
        <f>""</f>
        <v/>
      </c>
      <c r="BM503" t="str">
        <f>"SAIPAN"</f>
        <v>SAIPAN</v>
      </c>
      <c r="BO503" t="s">
        <v>83</v>
      </c>
      <c r="BP503" s="4" t="str">
        <f t="shared" ref="BP503:BP523" si="282">"96950"</f>
        <v>96950</v>
      </c>
      <c r="BQ503" t="s">
        <v>79</v>
      </c>
      <c r="BR503" t="str">
        <f>"11-1021.00"</f>
        <v>11-1021.00</v>
      </c>
      <c r="BS503" t="s">
        <v>244</v>
      </c>
      <c r="BT503" s="3">
        <v>20.83</v>
      </c>
      <c r="BU503" t="s">
        <v>80</v>
      </c>
      <c r="BV503" t="s">
        <v>90</v>
      </c>
      <c r="BW503" t="s">
        <v>92</v>
      </c>
      <c r="BZ503" s="1">
        <v>45107</v>
      </c>
    </row>
    <row r="504" spans="1:78" ht="15" customHeight="1" x14ac:dyDescent="0.25">
      <c r="A504" t="s">
        <v>220</v>
      </c>
      <c r="B504" t="s">
        <v>94</v>
      </c>
      <c r="C504" s="1">
        <v>44798</v>
      </c>
      <c r="D504" s="1">
        <v>44840</v>
      </c>
      <c r="H504" t="s">
        <v>78</v>
      </c>
      <c r="I504" t="str">
        <f>"Castro"</f>
        <v>Castro</v>
      </c>
      <c r="J504" t="str">
        <f>"Francisco"</f>
        <v>Francisco</v>
      </c>
      <c r="K504" t="str">
        <f>"C"</f>
        <v>C</v>
      </c>
      <c r="L504" t="str">
        <f>"Proprietor/Owner"</f>
        <v>Proprietor/Owner</v>
      </c>
      <c r="M504" t="str">
        <f>"Highway 308 Sugar King Road, China Town"</f>
        <v>Highway 308 Sugar King Road, China Town</v>
      </c>
      <c r="N504" t="str">
        <f>"P.O. Box 500282"</f>
        <v>P.O. Box 500282</v>
      </c>
      <c r="O504" t="str">
        <f>"Saipan"</f>
        <v>Saipan</v>
      </c>
      <c r="P504" t="str">
        <f t="shared" si="277"/>
        <v>MP</v>
      </c>
      <c r="Q504" s="4" t="str">
        <f t="shared" si="278"/>
        <v>96950</v>
      </c>
      <c r="R504" t="str">
        <f t="shared" si="279"/>
        <v>UNITED STATES OF AMERICA</v>
      </c>
      <c r="S504" t="str">
        <f>"N/A"</f>
        <v>N/A</v>
      </c>
      <c r="T504" s="5" t="str">
        <f>"16704833911"</f>
        <v>16704833911</v>
      </c>
      <c r="U504" t="str">
        <f>""</f>
        <v/>
      </c>
      <c r="V504" s="5" t="str">
        <f>""</f>
        <v/>
      </c>
      <c r="W504" t="str">
        <f>"fjcastro1937@gmail.com"</f>
        <v>fjcastro1937@gmail.com</v>
      </c>
      <c r="X504" t="str">
        <f>"Francisco C. Castro"</f>
        <v>Francisco C. Castro</v>
      </c>
      <c r="Y504" t="str">
        <f>"F &amp; J Castro"</f>
        <v>F &amp; J Castro</v>
      </c>
      <c r="Z504" t="str">
        <f>"Highway 308 Sugar King Road, China Town"</f>
        <v>Highway 308 Sugar King Road, China Town</v>
      </c>
      <c r="AA504" t="str">
        <f>"P.O. Box 500282"</f>
        <v>P.O. Box 500282</v>
      </c>
      <c r="AB504" t="str">
        <f>"Saipan"</f>
        <v>Saipan</v>
      </c>
      <c r="AC504" t="str">
        <f t="shared" si="280"/>
        <v>MP</v>
      </c>
      <c r="AD504" t="str">
        <f t="shared" si="281"/>
        <v>96950</v>
      </c>
      <c r="AE504" t="str">
        <f t="shared" si="273"/>
        <v>UNITED STATES OF AMERICA</v>
      </c>
      <c r="AF504" t="str">
        <f>"N/A"</f>
        <v>N/A</v>
      </c>
      <c r="AG504" s="4" t="str">
        <f>"16704833911"</f>
        <v>16704833911</v>
      </c>
      <c r="AH504" t="str">
        <f>""</f>
        <v/>
      </c>
      <c r="AI504" t="str">
        <f>"531110"</f>
        <v>531110</v>
      </c>
      <c r="AJ504" t="s">
        <v>79</v>
      </c>
      <c r="AK504" t="s">
        <v>79</v>
      </c>
      <c r="AL504" t="s">
        <v>80</v>
      </c>
      <c r="AM504" t="s">
        <v>79</v>
      </c>
      <c r="AP504" t="str">
        <f>"Building Maintenance Worker"</f>
        <v>Building Maintenance Worker</v>
      </c>
      <c r="AQ504" t="str">
        <f>"49-9071.00"</f>
        <v>49-9071.00</v>
      </c>
      <c r="AR504" t="str">
        <f>"Maintenance and Repair Workers, General"</f>
        <v>Maintenance and Repair Workers, General</v>
      </c>
      <c r="AS504" t="str">
        <f>"Proprietor/Owner"</f>
        <v>Proprietor/Owner</v>
      </c>
      <c r="AT504" t="s">
        <v>79</v>
      </c>
      <c r="AU504" t="str">
        <f>""</f>
        <v/>
      </c>
      <c r="AV504" t="str">
        <f>""</f>
        <v/>
      </c>
      <c r="AW504" t="s">
        <v>79</v>
      </c>
      <c r="AX504" t="str">
        <f>""</f>
        <v/>
      </c>
      <c r="AY504" t="s">
        <v>84</v>
      </c>
      <c r="BA504" t="s">
        <v>80</v>
      </c>
      <c r="BB504" t="s">
        <v>79</v>
      </c>
      <c r="BD504" t="s">
        <v>79</v>
      </c>
      <c r="BG504" t="s">
        <v>82</v>
      </c>
      <c r="BH504">
        <v>12</v>
      </c>
      <c r="BI504" t="s">
        <v>221</v>
      </c>
      <c r="BJ504" s="2" t="s">
        <v>222</v>
      </c>
      <c r="BK504" t="str">
        <f>"Cadena De Amor St., South Garapan"</f>
        <v>Cadena De Amor St., South Garapan</v>
      </c>
      <c r="BL504" t="str">
        <f>""</f>
        <v/>
      </c>
      <c r="BM504" t="str">
        <f>"Saipan"</f>
        <v>Saipan</v>
      </c>
      <c r="BO504" t="s">
        <v>83</v>
      </c>
      <c r="BP504" s="4" t="str">
        <f t="shared" si="282"/>
        <v>96950</v>
      </c>
      <c r="BQ504" t="s">
        <v>79</v>
      </c>
      <c r="BR504" t="str">
        <f>"49-9071.00"</f>
        <v>49-9071.00</v>
      </c>
      <c r="BS504" t="s">
        <v>146</v>
      </c>
      <c r="BT504" s="3">
        <v>9.19</v>
      </c>
      <c r="BU504" t="s">
        <v>80</v>
      </c>
      <c r="BV504" t="s">
        <v>90</v>
      </c>
      <c r="BW504" t="s">
        <v>92</v>
      </c>
      <c r="BZ504" s="1">
        <v>45107</v>
      </c>
    </row>
    <row r="505" spans="1:78" ht="15" customHeight="1" x14ac:dyDescent="0.25">
      <c r="A505" t="s">
        <v>223</v>
      </c>
      <c r="B505" t="s">
        <v>94</v>
      </c>
      <c r="C505" s="1">
        <v>44798</v>
      </c>
      <c r="D505" s="1">
        <v>44840</v>
      </c>
      <c r="H505" t="s">
        <v>78</v>
      </c>
      <c r="I505" t="str">
        <f>"Casamina"</f>
        <v>Casamina</v>
      </c>
      <c r="J505" t="str">
        <f>"Efren"</f>
        <v>Efren</v>
      </c>
      <c r="K505" t="str">
        <f>"Jesuitas"</f>
        <v>Jesuitas</v>
      </c>
      <c r="L505" t="str">
        <f>"Owner"</f>
        <v>Owner</v>
      </c>
      <c r="M505" t="str">
        <f>"H-146B-1 Grd Flr Island Commercial Bldg Gualo Rai"</f>
        <v>H-146B-1 Grd Flr Island Commercial Bldg Gualo Rai</v>
      </c>
      <c r="N505" t="str">
        <f>"PO Box 503650"</f>
        <v>PO Box 503650</v>
      </c>
      <c r="O505" t="str">
        <f>"Saipan"</f>
        <v>Saipan</v>
      </c>
      <c r="P505" t="str">
        <f t="shared" si="277"/>
        <v>MP</v>
      </c>
      <c r="Q505" s="4" t="str">
        <f t="shared" si="278"/>
        <v>96950</v>
      </c>
      <c r="R505" t="str">
        <f t="shared" si="279"/>
        <v>UNITED STATES OF AMERICA</v>
      </c>
      <c r="S505" t="str">
        <f>""</f>
        <v/>
      </c>
      <c r="T505" s="5" t="str">
        <f>"16702335650"</f>
        <v>16702335650</v>
      </c>
      <c r="U505" t="str">
        <f>""</f>
        <v/>
      </c>
      <c r="V505" s="5" t="str">
        <f>""</f>
        <v/>
      </c>
      <c r="W505" t="str">
        <f>"doublee0522@gmail.com"</f>
        <v>doublee0522@gmail.com</v>
      </c>
      <c r="X505" t="str">
        <f>"EFREN J. CASAMINA"</f>
        <v>EFREN J. CASAMINA</v>
      </c>
      <c r="Y505" t="s">
        <v>224</v>
      </c>
      <c r="Z505" t="str">
        <f>"H-146B1 Grd Flr of Island Commercial Bldg Gualo Rai"</f>
        <v>H-146B1 Grd Flr of Island Commercial Bldg Gualo Rai</v>
      </c>
      <c r="AA505" t="str">
        <f>"PO Box 503650"</f>
        <v>PO Box 503650</v>
      </c>
      <c r="AB505" t="str">
        <f>"Saipan"</f>
        <v>Saipan</v>
      </c>
      <c r="AC505" t="str">
        <f t="shared" si="280"/>
        <v>MP</v>
      </c>
      <c r="AD505" t="str">
        <f t="shared" si="281"/>
        <v>96950</v>
      </c>
      <c r="AE505" t="str">
        <f t="shared" si="273"/>
        <v>UNITED STATES OF AMERICA</v>
      </c>
      <c r="AF505" t="str">
        <f>"MP"</f>
        <v>MP</v>
      </c>
      <c r="AG505" s="4" t="str">
        <f>"16707891970"</f>
        <v>16707891970</v>
      </c>
      <c r="AH505" t="str">
        <f>""</f>
        <v/>
      </c>
      <c r="AI505" t="str">
        <f>"236115"</f>
        <v>236115</v>
      </c>
      <c r="AJ505" t="s">
        <v>79</v>
      </c>
      <c r="AK505" t="s">
        <v>79</v>
      </c>
      <c r="AL505" t="s">
        <v>80</v>
      </c>
      <c r="AM505" t="s">
        <v>79</v>
      </c>
      <c r="AP505" t="str">
        <f>"Aircon Technician "</f>
        <v xml:space="preserve">Aircon Technician </v>
      </c>
      <c r="AQ505" t="str">
        <f>"49-9021.00"</f>
        <v>49-9021.00</v>
      </c>
      <c r="AR505" t="str">
        <f>"Heating, Air Conditioning, and Refrigeration Mechanics and Installers"</f>
        <v>Heating, Air Conditioning, and Refrigeration Mechanics and Installers</v>
      </c>
      <c r="AS505" t="str">
        <f>"Owner"</f>
        <v>Owner</v>
      </c>
      <c r="AT505" t="s">
        <v>79</v>
      </c>
      <c r="AU505" t="str">
        <f>""</f>
        <v/>
      </c>
      <c r="AV505" t="str">
        <f>""</f>
        <v/>
      </c>
      <c r="AW505" t="s">
        <v>79</v>
      </c>
      <c r="AX505" t="str">
        <f>""</f>
        <v/>
      </c>
      <c r="AY505" t="s">
        <v>84</v>
      </c>
      <c r="BA505" t="s">
        <v>80</v>
      </c>
      <c r="BB505" t="s">
        <v>79</v>
      </c>
      <c r="BD505" t="s">
        <v>79</v>
      </c>
      <c r="BG505" t="s">
        <v>82</v>
      </c>
      <c r="BH505">
        <v>24</v>
      </c>
      <c r="BI505" t="s">
        <v>225</v>
      </c>
      <c r="BJ505" t="s">
        <v>226</v>
      </c>
      <c r="BK505" t="str">
        <f>"H146B1 Grd Flr of Island Commercial Bldg Gualo Rai"</f>
        <v>H146B1 Grd Flr of Island Commercial Bldg Gualo Rai</v>
      </c>
      <c r="BL505" t="str">
        <f>"None"</f>
        <v>None</v>
      </c>
      <c r="BM505" t="str">
        <f>"Saipan"</f>
        <v>Saipan</v>
      </c>
      <c r="BO505" t="s">
        <v>83</v>
      </c>
      <c r="BP505" s="4" t="str">
        <f t="shared" si="282"/>
        <v>96950</v>
      </c>
      <c r="BQ505" t="s">
        <v>79</v>
      </c>
      <c r="BR505" t="str">
        <f>"49-9021.00"</f>
        <v>49-9021.00</v>
      </c>
      <c r="BS505" t="s">
        <v>177</v>
      </c>
      <c r="BT505" s="3">
        <v>9.6999999999999993</v>
      </c>
      <c r="BU505" t="s">
        <v>80</v>
      </c>
      <c r="BV505" t="s">
        <v>90</v>
      </c>
      <c r="BW505" t="s">
        <v>92</v>
      </c>
      <c r="BZ505" s="1">
        <v>45107</v>
      </c>
    </row>
    <row r="506" spans="1:78" ht="15" customHeight="1" x14ac:dyDescent="0.25">
      <c r="A506" t="s">
        <v>227</v>
      </c>
      <c r="B506" t="s">
        <v>94</v>
      </c>
      <c r="C506" s="1">
        <v>44798</v>
      </c>
      <c r="D506" s="1">
        <v>44840</v>
      </c>
      <c r="H506" t="s">
        <v>78</v>
      </c>
      <c r="I506" t="str">
        <f>"Sablan"</f>
        <v>Sablan</v>
      </c>
      <c r="J506" t="str">
        <f>"April"</f>
        <v>April</v>
      </c>
      <c r="K506" t="str">
        <f>"Jambalos"</f>
        <v>Jambalos</v>
      </c>
      <c r="L506" t="str">
        <f>"Managing Consultant / Human Resources Coordinator"</f>
        <v>Managing Consultant / Human Resources Coordinator</v>
      </c>
      <c r="M506" t="str">
        <f>"Roong LN#1 San Jose"</f>
        <v>Roong LN#1 San Jose</v>
      </c>
      <c r="N506" t="str">
        <f>""</f>
        <v/>
      </c>
      <c r="O506" t="str">
        <f>"Saipan"</f>
        <v>Saipan</v>
      </c>
      <c r="P506" t="str">
        <f t="shared" si="277"/>
        <v>MP</v>
      </c>
      <c r="Q506" s="4" t="str">
        <f t="shared" si="278"/>
        <v>96950</v>
      </c>
      <c r="R506" t="str">
        <f t="shared" si="279"/>
        <v>UNITED STATES OF AMERICA</v>
      </c>
      <c r="S506" t="str">
        <f>"N/A"</f>
        <v>N/A</v>
      </c>
      <c r="T506" s="5" t="str">
        <f>"16704834587"</f>
        <v>16704834587</v>
      </c>
      <c r="U506" t="str">
        <f>""</f>
        <v/>
      </c>
      <c r="V506" s="5" t="str">
        <f>""</f>
        <v/>
      </c>
      <c r="W506" t="str">
        <f>"office@marianassecurity.com"</f>
        <v>office@marianassecurity.com</v>
      </c>
      <c r="X506" t="str">
        <f>"Marianas Security Corporation"</f>
        <v>Marianas Security Corporation</v>
      </c>
      <c r="Y506" t="str">
        <f>"N/A"</f>
        <v>N/A</v>
      </c>
      <c r="Z506" t="str">
        <f>"P.O. Box 500438 Saipan MP 96950"</f>
        <v>P.O. Box 500438 Saipan MP 96950</v>
      </c>
      <c r="AA506" t="str">
        <f>""</f>
        <v/>
      </c>
      <c r="AB506" t="str">
        <f>"Saipan"</f>
        <v>Saipan</v>
      </c>
      <c r="AC506" t="str">
        <f t="shared" si="280"/>
        <v>MP</v>
      </c>
      <c r="AD506" t="str">
        <f t="shared" si="281"/>
        <v>96950</v>
      </c>
      <c r="AE506" t="str">
        <f t="shared" si="273"/>
        <v>UNITED STATES OF AMERICA</v>
      </c>
      <c r="AF506" t="str">
        <f>""</f>
        <v/>
      </c>
      <c r="AG506" s="4" t="str">
        <f>"16702349675"</f>
        <v>16702349675</v>
      </c>
      <c r="AH506" t="str">
        <f>""</f>
        <v/>
      </c>
      <c r="AI506" t="str">
        <f>"561720"</f>
        <v>561720</v>
      </c>
      <c r="AJ506" t="s">
        <v>79</v>
      </c>
      <c r="AK506" t="s">
        <v>79</v>
      </c>
      <c r="AL506" t="s">
        <v>80</v>
      </c>
      <c r="AM506" t="s">
        <v>79</v>
      </c>
      <c r="AP506" t="str">
        <f>"HVAC TECHNICIAN"</f>
        <v>HVAC TECHNICIAN</v>
      </c>
      <c r="AQ506" t="str">
        <f>"49-9021.00"</f>
        <v>49-9021.00</v>
      </c>
      <c r="AR506" t="str">
        <f>"Heating, Air Conditioning, and Refrigeration Mechanics and Installers"</f>
        <v>Heating, Air Conditioning, and Refrigeration Mechanics and Installers</v>
      </c>
      <c r="AS506" t="str">
        <f>"N/A"</f>
        <v>N/A</v>
      </c>
      <c r="AT506" t="s">
        <v>79</v>
      </c>
      <c r="AU506" t="str">
        <f>""</f>
        <v/>
      </c>
      <c r="AV506" t="str">
        <f>""</f>
        <v/>
      </c>
      <c r="AW506" t="s">
        <v>79</v>
      </c>
      <c r="AX506" t="str">
        <f>""</f>
        <v/>
      </c>
      <c r="AY506" t="s">
        <v>84</v>
      </c>
      <c r="BA506" t="s">
        <v>80</v>
      </c>
      <c r="BB506" t="s">
        <v>79</v>
      </c>
      <c r="BD506" t="s">
        <v>79</v>
      </c>
      <c r="BG506" t="s">
        <v>82</v>
      </c>
      <c r="BH506">
        <v>12</v>
      </c>
      <c r="BI506" t="s">
        <v>228</v>
      </c>
      <c r="BJ506" t="s">
        <v>229</v>
      </c>
      <c r="BK506" t="str">
        <f>"Joeten Superstore Bldg.,Roong Ln#1, San Jose"</f>
        <v>Joeten Superstore Bldg.,Roong Ln#1, San Jose</v>
      </c>
      <c r="BL506" t="str">
        <f>""</f>
        <v/>
      </c>
      <c r="BM506" t="str">
        <f>"Saipan"</f>
        <v>Saipan</v>
      </c>
      <c r="BO506" t="s">
        <v>83</v>
      </c>
      <c r="BP506" s="4" t="str">
        <f t="shared" si="282"/>
        <v>96950</v>
      </c>
      <c r="BQ506" t="s">
        <v>79</v>
      </c>
      <c r="BR506" t="str">
        <f>"49-9021.00"</f>
        <v>49-9021.00</v>
      </c>
      <c r="BS506" t="s">
        <v>177</v>
      </c>
      <c r="BT506" s="3">
        <v>9.6999999999999993</v>
      </c>
      <c r="BU506" t="s">
        <v>80</v>
      </c>
      <c r="BV506" t="s">
        <v>90</v>
      </c>
      <c r="BW506" t="s">
        <v>92</v>
      </c>
      <c r="BZ506" s="1">
        <v>45107</v>
      </c>
    </row>
    <row r="507" spans="1:78" ht="15" customHeight="1" x14ac:dyDescent="0.25">
      <c r="A507" t="s">
        <v>230</v>
      </c>
      <c r="B507" t="s">
        <v>94</v>
      </c>
      <c r="C507" s="1">
        <v>44798</v>
      </c>
      <c r="D507" s="1">
        <v>44840</v>
      </c>
      <c r="H507" t="s">
        <v>78</v>
      </c>
      <c r="I507" t="str">
        <f>"CAMACHO"</f>
        <v>CAMACHO</v>
      </c>
      <c r="J507" t="str">
        <f>"JOSEFINA"</f>
        <v>JOSEFINA</v>
      </c>
      <c r="K507" t="str">
        <f>"CUNANAN"</f>
        <v>CUNANAN</v>
      </c>
      <c r="L507" t="str">
        <f>"ASSISTANT MANAGER"</f>
        <v>ASSISTANT MANAGER</v>
      </c>
      <c r="M507" t="str">
        <f>"P. O. BOX 5232 CHRB"</f>
        <v>P. O. BOX 5232 CHRB</v>
      </c>
      <c r="N507" t="str">
        <f>"TALOFOFO ROAD, CAPITOL HILL"</f>
        <v>TALOFOFO ROAD, CAPITOL HILL</v>
      </c>
      <c r="O507" t="str">
        <f>"SAIPAN"</f>
        <v>SAIPAN</v>
      </c>
      <c r="P507" t="str">
        <f t="shared" si="277"/>
        <v>MP</v>
      </c>
      <c r="Q507" s="4" t="str">
        <f t="shared" si="278"/>
        <v>96950</v>
      </c>
      <c r="R507" t="str">
        <f t="shared" si="279"/>
        <v>UNITED STATES OF AMERICA</v>
      </c>
      <c r="S507" t="str">
        <f>""</f>
        <v/>
      </c>
      <c r="T507" s="5" t="str">
        <f>"16709898049"</f>
        <v>16709898049</v>
      </c>
      <c r="U507" t="str">
        <f>""</f>
        <v/>
      </c>
      <c r="V507" s="5" t="str">
        <f>""</f>
        <v/>
      </c>
      <c r="W507" t="str">
        <f>"josie.kingfisher@gmail.com"</f>
        <v>josie.kingfisher@gmail.com</v>
      </c>
      <c r="X507" t="str">
        <f>"KINGFISHER CORPORATION"</f>
        <v>KINGFISHER CORPORATION</v>
      </c>
      <c r="Y507" t="str">
        <f>"KINGFISHER GOLF LINKS"</f>
        <v>KINGFISHER GOLF LINKS</v>
      </c>
      <c r="Z507" t="str">
        <f>"P. O. BOX 5232 CHRB"</f>
        <v>P. O. BOX 5232 CHRB</v>
      </c>
      <c r="AA507" t="str">
        <f>"TALOFOFO ROAD, CAPITOL HILL"</f>
        <v>TALOFOFO ROAD, CAPITOL HILL</v>
      </c>
      <c r="AB507" t="str">
        <f>"SAIPAN"</f>
        <v>SAIPAN</v>
      </c>
      <c r="AC507" t="str">
        <f t="shared" si="280"/>
        <v>MP</v>
      </c>
      <c r="AD507" t="str">
        <f t="shared" si="281"/>
        <v>96950</v>
      </c>
      <c r="AE507" t="str">
        <f t="shared" si="273"/>
        <v>UNITED STATES OF AMERICA</v>
      </c>
      <c r="AF507" t="str">
        <f>""</f>
        <v/>
      </c>
      <c r="AG507" s="4" t="str">
        <f>"16709898049"</f>
        <v>16709898049</v>
      </c>
      <c r="AH507" t="str">
        <f>""</f>
        <v/>
      </c>
      <c r="AI507" t="str">
        <f>"713910"</f>
        <v>713910</v>
      </c>
      <c r="AJ507" t="s">
        <v>79</v>
      </c>
      <c r="AK507" t="s">
        <v>79</v>
      </c>
      <c r="AL507" t="s">
        <v>80</v>
      </c>
      <c r="AM507" t="s">
        <v>79</v>
      </c>
      <c r="AP507" t="str">
        <f>"MAINTENANCE AND REPAIR WORKER, GENERAL"</f>
        <v>MAINTENANCE AND REPAIR WORKER, GENERAL</v>
      </c>
      <c r="AQ507" t="str">
        <f>"49-9071.00"</f>
        <v>49-9071.00</v>
      </c>
      <c r="AR507" t="str">
        <f>"Maintenance and Repair Workers, General"</f>
        <v>Maintenance and Repair Workers, General</v>
      </c>
      <c r="AS507" t="str">
        <f>"GENERAL AND OPERATIONS MANAGER"</f>
        <v>GENERAL AND OPERATIONS MANAGER</v>
      </c>
      <c r="AT507" t="s">
        <v>79</v>
      </c>
      <c r="AU507" t="str">
        <f>""</f>
        <v/>
      </c>
      <c r="AV507" t="str">
        <f>""</f>
        <v/>
      </c>
      <c r="AW507" t="s">
        <v>79</v>
      </c>
      <c r="AX507" t="str">
        <f>""</f>
        <v/>
      </c>
      <c r="AY507" t="s">
        <v>84</v>
      </c>
      <c r="BA507" t="s">
        <v>80</v>
      </c>
      <c r="BB507" t="s">
        <v>79</v>
      </c>
      <c r="BD507" t="s">
        <v>79</v>
      </c>
      <c r="BG507" t="s">
        <v>82</v>
      </c>
      <c r="BH507">
        <v>12</v>
      </c>
      <c r="BI507" t="s">
        <v>231</v>
      </c>
      <c r="BJ507" t="s">
        <v>232</v>
      </c>
      <c r="BK507" t="str">
        <f>"TALOFOFO ROAD, CAPITOL HILL"</f>
        <v>TALOFOFO ROAD, CAPITOL HILL</v>
      </c>
      <c r="BL507" t="str">
        <f>""</f>
        <v/>
      </c>
      <c r="BM507" t="str">
        <f>"SAIPAN"</f>
        <v>SAIPAN</v>
      </c>
      <c r="BO507" t="s">
        <v>83</v>
      </c>
      <c r="BP507" s="4" t="str">
        <f t="shared" si="282"/>
        <v>96950</v>
      </c>
      <c r="BQ507" t="s">
        <v>79</v>
      </c>
      <c r="BR507" t="str">
        <f>"49-9071.00"</f>
        <v>49-9071.00</v>
      </c>
      <c r="BS507" t="s">
        <v>146</v>
      </c>
      <c r="BT507" s="3">
        <v>9.19</v>
      </c>
      <c r="BU507" t="s">
        <v>80</v>
      </c>
      <c r="BV507" t="s">
        <v>90</v>
      </c>
      <c r="BW507" t="s">
        <v>92</v>
      </c>
      <c r="BZ507" s="1">
        <v>45107</v>
      </c>
    </row>
    <row r="508" spans="1:78" ht="15" customHeight="1" x14ac:dyDescent="0.25">
      <c r="A508" t="s">
        <v>233</v>
      </c>
      <c r="B508" t="s">
        <v>94</v>
      </c>
      <c r="C508" s="1">
        <v>44798</v>
      </c>
      <c r="D508" s="1">
        <v>44840</v>
      </c>
      <c r="H508" t="s">
        <v>78</v>
      </c>
      <c r="I508" t="str">
        <f>"Markos"</f>
        <v>Markos</v>
      </c>
      <c r="J508" t="str">
        <f>"Sarandos"</f>
        <v>Sarandos</v>
      </c>
      <c r="K508" t="str">
        <f>"Louis"</f>
        <v>Louis</v>
      </c>
      <c r="L508" t="str">
        <f>"President"</f>
        <v>President</v>
      </c>
      <c r="M508" t="str">
        <f>"Lot 020 D25 Beach Rd"</f>
        <v>Lot 020 D25 Beach Rd</v>
      </c>
      <c r="N508" t="str">
        <f>"Saipan"</f>
        <v>Saipan</v>
      </c>
      <c r="O508" t="str">
        <f>"Garapan"</f>
        <v>Garapan</v>
      </c>
      <c r="P508" t="str">
        <f t="shared" si="277"/>
        <v>MP</v>
      </c>
      <c r="Q508" s="4" t="str">
        <f t="shared" si="278"/>
        <v>96950</v>
      </c>
      <c r="R508" t="str">
        <f t="shared" si="279"/>
        <v>UNITED STATES OF AMERICA</v>
      </c>
      <c r="S508" t="str">
        <f>"N/A"</f>
        <v>N/A</v>
      </c>
      <c r="T508" s="5" t="str">
        <f>"16702347266"</f>
        <v>16702347266</v>
      </c>
      <c r="U508" t="str">
        <f>""</f>
        <v/>
      </c>
      <c r="V508" s="5" t="str">
        <f>""</f>
        <v/>
      </c>
      <c r="W508" t="str">
        <f>"boats@pticom.com"</f>
        <v>boats@pticom.com</v>
      </c>
      <c r="X508" t="str">
        <f>"Sea-Lago Inc."</f>
        <v>Sea-Lago Inc.</v>
      </c>
      <c r="Y508" t="str">
        <f>"Sea-Lago Inc."</f>
        <v>Sea-Lago Inc.</v>
      </c>
      <c r="Z508" t="str">
        <f>"Lot 010 D25 Beach Rd"</f>
        <v>Lot 010 D25 Beach Rd</v>
      </c>
      <c r="AA508" t="str">
        <f>"Saipan"</f>
        <v>Saipan</v>
      </c>
      <c r="AB508" t="str">
        <f>"Saipan"</f>
        <v>Saipan</v>
      </c>
      <c r="AC508" t="str">
        <f t="shared" si="280"/>
        <v>MP</v>
      </c>
      <c r="AD508" t="str">
        <f t="shared" si="281"/>
        <v>96950</v>
      </c>
      <c r="AE508" t="str">
        <f t="shared" si="273"/>
        <v>UNITED STATES OF AMERICA</v>
      </c>
      <c r="AF508" t="str">
        <f>"N/A"</f>
        <v>N/A</v>
      </c>
      <c r="AG508" s="4" t="str">
        <f>"16702347266"</f>
        <v>16702347266</v>
      </c>
      <c r="AH508" t="str">
        <f>""</f>
        <v/>
      </c>
      <c r="AI508" t="str">
        <f>"487210"</f>
        <v>487210</v>
      </c>
      <c r="AJ508" t="s">
        <v>79</v>
      </c>
      <c r="AK508" t="s">
        <v>79</v>
      </c>
      <c r="AL508" t="s">
        <v>80</v>
      </c>
      <c r="AM508" t="s">
        <v>79</v>
      </c>
      <c r="AP508" t="str">
        <f>"Cook"</f>
        <v>Cook</v>
      </c>
      <c r="AQ508" t="str">
        <f>"35-2014.00"</f>
        <v>35-2014.00</v>
      </c>
      <c r="AR508" t="str">
        <f>"Cooks, Restaurant"</f>
        <v>Cooks, Restaurant</v>
      </c>
      <c r="AS508" t="str">
        <f>"Manager"</f>
        <v>Manager</v>
      </c>
      <c r="AT508" t="s">
        <v>79</v>
      </c>
      <c r="AU508" t="str">
        <f>""</f>
        <v/>
      </c>
      <c r="AV508" t="str">
        <f>""</f>
        <v/>
      </c>
      <c r="AW508" t="s">
        <v>79</v>
      </c>
      <c r="AX508" t="str">
        <f>""</f>
        <v/>
      </c>
      <c r="AY508" t="s">
        <v>81</v>
      </c>
      <c r="BA508" t="s">
        <v>80</v>
      </c>
      <c r="BB508" t="s">
        <v>79</v>
      </c>
      <c r="BD508" t="s">
        <v>79</v>
      </c>
      <c r="BG508" t="s">
        <v>82</v>
      </c>
      <c r="BH508">
        <v>12</v>
      </c>
      <c r="BI508" t="s">
        <v>234</v>
      </c>
      <c r="BJ508" s="2" t="s">
        <v>235</v>
      </c>
      <c r="BK508" t="str">
        <f>"Lot 010 D25 Beach Rd. (On board company dinner cruise boat)"</f>
        <v>Lot 010 D25 Beach Rd. (On board company dinner cruise boat)</v>
      </c>
      <c r="BL508" t="str">
        <f>"Saipan"</f>
        <v>Saipan</v>
      </c>
      <c r="BM508" t="str">
        <f>"Garapan"</f>
        <v>Garapan</v>
      </c>
      <c r="BO508" t="s">
        <v>83</v>
      </c>
      <c r="BP508" s="4" t="str">
        <f t="shared" si="282"/>
        <v>96950</v>
      </c>
      <c r="BQ508" t="s">
        <v>79</v>
      </c>
      <c r="BR508" t="str">
        <f>"35-2014.00"</f>
        <v>35-2014.00</v>
      </c>
      <c r="BS508" t="s">
        <v>117</v>
      </c>
      <c r="BT508" s="3">
        <v>8.5500000000000007</v>
      </c>
      <c r="BU508" t="s">
        <v>80</v>
      </c>
      <c r="BV508" t="s">
        <v>90</v>
      </c>
      <c r="BW508" t="s">
        <v>92</v>
      </c>
      <c r="BZ508" s="1">
        <v>45107</v>
      </c>
    </row>
    <row r="509" spans="1:78" ht="15" customHeight="1" x14ac:dyDescent="0.25">
      <c r="A509" t="s">
        <v>236</v>
      </c>
      <c r="B509" t="s">
        <v>94</v>
      </c>
      <c r="C509" s="1">
        <v>44798</v>
      </c>
      <c r="D509" s="1">
        <v>44840</v>
      </c>
      <c r="H509" t="s">
        <v>78</v>
      </c>
      <c r="I509" t="str">
        <f>"Markos"</f>
        <v>Markos</v>
      </c>
      <c r="J509" t="str">
        <f>"Sarandos"</f>
        <v>Sarandos</v>
      </c>
      <c r="K509" t="str">
        <f>"Louis"</f>
        <v>Louis</v>
      </c>
      <c r="L509" t="str">
        <f>"President"</f>
        <v>President</v>
      </c>
      <c r="M509" t="str">
        <f>"Lot 010 D25 Beach Rd."</f>
        <v>Lot 010 D25 Beach Rd.</v>
      </c>
      <c r="N509" t="str">
        <f>"Saipan"</f>
        <v>Saipan</v>
      </c>
      <c r="O509" t="str">
        <f>"Saipan"</f>
        <v>Saipan</v>
      </c>
      <c r="P509" t="str">
        <f t="shared" si="277"/>
        <v>MP</v>
      </c>
      <c r="Q509" s="4" t="str">
        <f t="shared" si="278"/>
        <v>96950</v>
      </c>
      <c r="R509" t="str">
        <f t="shared" si="279"/>
        <v>UNITED STATES OF AMERICA</v>
      </c>
      <c r="S509" t="str">
        <f>"N/A"</f>
        <v>N/A</v>
      </c>
      <c r="T509" s="5" t="str">
        <f>"16702347266"</f>
        <v>16702347266</v>
      </c>
      <c r="U509" t="str">
        <f>""</f>
        <v/>
      </c>
      <c r="V509" s="5" t="str">
        <f>""</f>
        <v/>
      </c>
      <c r="W509" t="str">
        <f>"boats@pticom.com"</f>
        <v>boats@pticom.com</v>
      </c>
      <c r="X509" t="str">
        <f>"Sea-Lago Inc."</f>
        <v>Sea-Lago Inc.</v>
      </c>
      <c r="Y509" t="str">
        <f>"Sea-Lago Inc."</f>
        <v>Sea-Lago Inc.</v>
      </c>
      <c r="Z509" t="str">
        <f>"Lot 010 D25 Beach Rd."</f>
        <v>Lot 010 D25 Beach Rd.</v>
      </c>
      <c r="AA509" t="str">
        <f>"Saipan"</f>
        <v>Saipan</v>
      </c>
      <c r="AB509" t="str">
        <f>"Saipan"</f>
        <v>Saipan</v>
      </c>
      <c r="AC509" t="str">
        <f t="shared" si="280"/>
        <v>MP</v>
      </c>
      <c r="AD509" t="str">
        <f t="shared" si="281"/>
        <v>96950</v>
      </c>
      <c r="AE509" t="str">
        <f t="shared" si="273"/>
        <v>UNITED STATES OF AMERICA</v>
      </c>
      <c r="AF509" t="str">
        <f>"N/A"</f>
        <v>N/A</v>
      </c>
      <c r="AG509" s="4" t="str">
        <f>"16704837231"</f>
        <v>16704837231</v>
      </c>
      <c r="AH509" t="str">
        <f>""</f>
        <v/>
      </c>
      <c r="AI509" t="str">
        <f>"487210"</f>
        <v>487210</v>
      </c>
      <c r="AJ509" t="s">
        <v>79</v>
      </c>
      <c r="AK509" t="s">
        <v>79</v>
      </c>
      <c r="AL509" t="s">
        <v>80</v>
      </c>
      <c r="AM509" t="s">
        <v>79</v>
      </c>
      <c r="AP509" t="str">
        <f>"Marine Diesel Technician"</f>
        <v>Marine Diesel Technician</v>
      </c>
      <c r="AQ509" t="str">
        <f>"49-3031.00"</f>
        <v>49-3031.00</v>
      </c>
      <c r="AR509" t="str">
        <f>"Bus and Truck Mechanics and Diesel Engine Specialists"</f>
        <v>Bus and Truck Mechanics and Diesel Engine Specialists</v>
      </c>
      <c r="AS509" t="str">
        <f>"Manager"</f>
        <v>Manager</v>
      </c>
      <c r="AT509" t="s">
        <v>79</v>
      </c>
      <c r="AU509" t="str">
        <f>""</f>
        <v/>
      </c>
      <c r="AV509" t="str">
        <f>""</f>
        <v/>
      </c>
      <c r="AW509" t="s">
        <v>79</v>
      </c>
      <c r="AX509" t="str">
        <f>""</f>
        <v/>
      </c>
      <c r="AY509" t="s">
        <v>84</v>
      </c>
      <c r="BA509" t="s">
        <v>80</v>
      </c>
      <c r="BB509" t="s">
        <v>79</v>
      </c>
      <c r="BD509" t="s">
        <v>79</v>
      </c>
      <c r="BG509" t="s">
        <v>82</v>
      </c>
      <c r="BH509">
        <v>24</v>
      </c>
      <c r="BI509" t="s">
        <v>237</v>
      </c>
      <c r="BJ509" s="2" t="s">
        <v>238</v>
      </c>
      <c r="BK509" t="str">
        <f>"Lot 010 D25 Beach Rd. ( on board company boats)"</f>
        <v>Lot 010 D25 Beach Rd. ( on board company boats)</v>
      </c>
      <c r="BL509" t="str">
        <f>"Saipan"</f>
        <v>Saipan</v>
      </c>
      <c r="BM509" t="str">
        <f>"Garapan"</f>
        <v>Garapan</v>
      </c>
      <c r="BO509" t="s">
        <v>83</v>
      </c>
      <c r="BP509" s="4" t="str">
        <f t="shared" si="282"/>
        <v>96950</v>
      </c>
      <c r="BQ509" t="s">
        <v>79</v>
      </c>
      <c r="BR509" t="str">
        <f>"49-3031.00"</f>
        <v>49-3031.00</v>
      </c>
      <c r="BS509" t="s">
        <v>239</v>
      </c>
      <c r="BT509" s="3">
        <v>10.17</v>
      </c>
      <c r="BU509" t="s">
        <v>80</v>
      </c>
      <c r="BV509" t="s">
        <v>90</v>
      </c>
      <c r="BW509" t="s">
        <v>92</v>
      </c>
      <c r="BZ509" s="1">
        <v>45107</v>
      </c>
    </row>
    <row r="510" spans="1:78" ht="15" customHeight="1" x14ac:dyDescent="0.25">
      <c r="A510" t="s">
        <v>185</v>
      </c>
      <c r="B510" t="s">
        <v>94</v>
      </c>
      <c r="C510" s="1">
        <v>44797</v>
      </c>
      <c r="D510" s="1">
        <v>44837</v>
      </c>
      <c r="H510" t="s">
        <v>78</v>
      </c>
      <c r="I510" t="str">
        <f>"Montilla"</f>
        <v>Montilla</v>
      </c>
      <c r="J510" t="str">
        <f>"Christylyn"</f>
        <v>Christylyn</v>
      </c>
      <c r="K510" t="str">
        <f>"Gomez"</f>
        <v>Gomez</v>
      </c>
      <c r="L510" t="str">
        <f>"Controller"</f>
        <v>Controller</v>
      </c>
      <c r="M510" t="str">
        <f>"817 JESUS T. ATTAO ROAD"</f>
        <v>817 JESUS T. ATTAO ROAD</v>
      </c>
      <c r="N510" t="str">
        <f>"Garapan Village, PO Box 5140 CHRB"</f>
        <v>Garapan Village, PO Box 5140 CHRB</v>
      </c>
      <c r="O510" t="str">
        <f>"Saipan"</f>
        <v>Saipan</v>
      </c>
      <c r="P510" t="str">
        <f t="shared" si="277"/>
        <v>MP</v>
      </c>
      <c r="Q510" s="4" t="str">
        <f t="shared" si="278"/>
        <v>96950</v>
      </c>
      <c r="R510" t="str">
        <f t="shared" si="279"/>
        <v>UNITED STATES OF AMERICA</v>
      </c>
      <c r="S510" t="str">
        <f>""</f>
        <v/>
      </c>
      <c r="T510" s="5" t="str">
        <f>"16702345050"</f>
        <v>16702345050</v>
      </c>
      <c r="U510" t="str">
        <f>""</f>
        <v/>
      </c>
      <c r="V510" s="5" t="str">
        <f>""</f>
        <v/>
      </c>
      <c r="W510" t="str">
        <f>"niizeki.intlspn@yahoo.com"</f>
        <v>niizeki.intlspn@yahoo.com</v>
      </c>
      <c r="X510" t="str">
        <f>"Niizeki International Saipan Co., Ltd"</f>
        <v>Niizeki International Saipan Co., Ltd</v>
      </c>
      <c r="Y510" t="str">
        <f>""</f>
        <v/>
      </c>
      <c r="Z510" t="str">
        <f>"817 JESUS T. ATTAO ROAD"</f>
        <v>817 JESUS T. ATTAO ROAD</v>
      </c>
      <c r="AA510" t="str">
        <f>"Garapan Village,  PO Box 5140 CHRB"</f>
        <v>Garapan Village,  PO Box 5140 CHRB</v>
      </c>
      <c r="AB510" t="str">
        <f>"Saipan"</f>
        <v>Saipan</v>
      </c>
      <c r="AC510" t="str">
        <f t="shared" si="280"/>
        <v>MP</v>
      </c>
      <c r="AD510" t="str">
        <f t="shared" si="281"/>
        <v>96950</v>
      </c>
      <c r="AE510" t="str">
        <f t="shared" si="273"/>
        <v>UNITED STATES OF AMERICA</v>
      </c>
      <c r="AF510" t="str">
        <f>""</f>
        <v/>
      </c>
      <c r="AG510" s="4" t="str">
        <f>"16702345050"</f>
        <v>16702345050</v>
      </c>
      <c r="AH510" t="str">
        <f>""</f>
        <v/>
      </c>
      <c r="AI510" t="str">
        <f>"53119"</f>
        <v>53119</v>
      </c>
      <c r="AJ510" t="s">
        <v>79</v>
      </c>
      <c r="AK510" t="s">
        <v>79</v>
      </c>
      <c r="AL510" t="s">
        <v>80</v>
      </c>
      <c r="AM510" t="s">
        <v>79</v>
      </c>
      <c r="AP510" t="str">
        <f>"Sales &amp; Marketing Executive (Real Estate/Property Industry)"</f>
        <v>Sales &amp; Marketing Executive (Real Estate/Property Industry)</v>
      </c>
      <c r="AQ510" t="str">
        <f>"41-9022.00"</f>
        <v>41-9022.00</v>
      </c>
      <c r="AR510" t="str">
        <f>"Real Estate Sales Agents"</f>
        <v>Real Estate Sales Agents</v>
      </c>
      <c r="AS510" t="str">
        <f>"Sales &amp; Marketing Manager"</f>
        <v>Sales &amp; Marketing Manager</v>
      </c>
      <c r="AT510" t="s">
        <v>79</v>
      </c>
      <c r="AU510" t="str">
        <f>""</f>
        <v/>
      </c>
      <c r="AV510" t="str">
        <f>""</f>
        <v/>
      </c>
      <c r="AW510" t="s">
        <v>79</v>
      </c>
      <c r="AX510" t="str">
        <f>""</f>
        <v/>
      </c>
      <c r="AY510" t="s">
        <v>124</v>
      </c>
      <c r="BA510" t="s">
        <v>119</v>
      </c>
      <c r="BB510" t="s">
        <v>79</v>
      </c>
      <c r="BD510" t="s">
        <v>79</v>
      </c>
      <c r="BG510" t="s">
        <v>82</v>
      </c>
      <c r="BH510">
        <v>12</v>
      </c>
      <c r="BI510" t="s">
        <v>186</v>
      </c>
      <c r="BJ510" t="s">
        <v>187</v>
      </c>
      <c r="BK510" t="str">
        <f>"JESUS T. ATTAO ROAD"</f>
        <v>JESUS T. ATTAO ROAD</v>
      </c>
      <c r="BL510" t="str">
        <f>"Garapan Village"</f>
        <v>Garapan Village</v>
      </c>
      <c r="BM510" t="str">
        <f>"Saipan"</f>
        <v>Saipan</v>
      </c>
      <c r="BO510" t="s">
        <v>83</v>
      </c>
      <c r="BP510" s="4" t="str">
        <f t="shared" si="282"/>
        <v>96950</v>
      </c>
      <c r="BQ510" t="s">
        <v>79</v>
      </c>
      <c r="BR510" t="str">
        <f>"41-9022.00"</f>
        <v>41-9022.00</v>
      </c>
      <c r="BS510" t="s">
        <v>188</v>
      </c>
      <c r="BT510" s="3">
        <v>8.76</v>
      </c>
      <c r="BU510" t="s">
        <v>80</v>
      </c>
      <c r="BV510" t="s">
        <v>90</v>
      </c>
      <c r="BW510" t="s">
        <v>92</v>
      </c>
      <c r="BZ510" s="1">
        <v>45107</v>
      </c>
    </row>
    <row r="511" spans="1:78" ht="15" customHeight="1" x14ac:dyDescent="0.25">
      <c r="A511" t="s">
        <v>189</v>
      </c>
      <c r="B511" t="s">
        <v>94</v>
      </c>
      <c r="C511" s="1">
        <v>44797</v>
      </c>
      <c r="D511" s="1">
        <v>44837</v>
      </c>
      <c r="H511" t="s">
        <v>78</v>
      </c>
      <c r="I511" t="str">
        <f>"Montilla"</f>
        <v>Montilla</v>
      </c>
      <c r="J511" t="str">
        <f>"Christylyn"</f>
        <v>Christylyn</v>
      </c>
      <c r="K511" t="str">
        <f>"Gomez"</f>
        <v>Gomez</v>
      </c>
      <c r="L511" t="str">
        <f>"Controller"</f>
        <v>Controller</v>
      </c>
      <c r="M511" t="str">
        <f>"817 JESUS T. ATTAO ROAD"</f>
        <v>817 JESUS T. ATTAO ROAD</v>
      </c>
      <c r="N511" t="str">
        <f>"Garapan Village, PO Box 5140 CHRB"</f>
        <v>Garapan Village, PO Box 5140 CHRB</v>
      </c>
      <c r="O511" t="str">
        <f>"Saipan"</f>
        <v>Saipan</v>
      </c>
      <c r="P511" t="str">
        <f t="shared" si="277"/>
        <v>MP</v>
      </c>
      <c r="Q511" s="4" t="str">
        <f t="shared" si="278"/>
        <v>96950</v>
      </c>
      <c r="R511" t="str">
        <f t="shared" si="279"/>
        <v>UNITED STATES OF AMERICA</v>
      </c>
      <c r="S511" t="str">
        <f>""</f>
        <v/>
      </c>
      <c r="T511" s="5" t="str">
        <f>"16702345050"</f>
        <v>16702345050</v>
      </c>
      <c r="U511" t="str">
        <f>""</f>
        <v/>
      </c>
      <c r="V511" s="5" t="str">
        <f>""</f>
        <v/>
      </c>
      <c r="W511" t="str">
        <f>"niizeki.intlspn@yahoo.com"</f>
        <v>niizeki.intlspn@yahoo.com</v>
      </c>
      <c r="X511" t="str">
        <f>"Niizeki International Saipan Co., Ltd."</f>
        <v>Niizeki International Saipan Co., Ltd.</v>
      </c>
      <c r="Y511" t="str">
        <f>"n/a"</f>
        <v>n/a</v>
      </c>
      <c r="Z511" t="str">
        <f>"817 JESUS T. ATTAO ROAD"</f>
        <v>817 JESUS T. ATTAO ROAD</v>
      </c>
      <c r="AA511" t="str">
        <f>"Garapan Village, PO Box 5140 CHRB"</f>
        <v>Garapan Village, PO Box 5140 CHRB</v>
      </c>
      <c r="AB511" t="str">
        <f>"Saipan"</f>
        <v>Saipan</v>
      </c>
      <c r="AC511" t="str">
        <f t="shared" si="280"/>
        <v>MP</v>
      </c>
      <c r="AD511" t="str">
        <f t="shared" si="281"/>
        <v>96950</v>
      </c>
      <c r="AE511" t="str">
        <f t="shared" si="273"/>
        <v>UNITED STATES OF AMERICA</v>
      </c>
      <c r="AF511" t="str">
        <f>""</f>
        <v/>
      </c>
      <c r="AG511" s="4" t="str">
        <f>"16702345050"</f>
        <v>16702345050</v>
      </c>
      <c r="AH511" t="str">
        <f>""</f>
        <v/>
      </c>
      <c r="AI511" t="str">
        <f>"56132"</f>
        <v>56132</v>
      </c>
      <c r="AJ511" t="s">
        <v>79</v>
      </c>
      <c r="AK511" t="s">
        <v>79</v>
      </c>
      <c r="AL511" t="s">
        <v>80</v>
      </c>
      <c r="AM511" t="s">
        <v>79</v>
      </c>
      <c r="AP511" t="str">
        <f>"Building Maintenance Repairer (General)"</f>
        <v>Building Maintenance Repairer (General)</v>
      </c>
      <c r="AQ511" t="str">
        <f>"49-9071.00"</f>
        <v>49-9071.00</v>
      </c>
      <c r="AR511" t="str">
        <f>"Maintenance and Repair Workers, General"</f>
        <v>Maintenance and Repair Workers, General</v>
      </c>
      <c r="AS511" t="str">
        <f>"Asst. General Manager"</f>
        <v>Asst. General Manager</v>
      </c>
      <c r="AT511" t="s">
        <v>79</v>
      </c>
      <c r="AU511" t="str">
        <f>""</f>
        <v/>
      </c>
      <c r="AV511" t="str">
        <f>""</f>
        <v/>
      </c>
      <c r="AW511" t="s">
        <v>79</v>
      </c>
      <c r="AX511" t="str">
        <f>""</f>
        <v/>
      </c>
      <c r="AY511" t="s">
        <v>81</v>
      </c>
      <c r="BA511" t="s">
        <v>119</v>
      </c>
      <c r="BB511" t="s">
        <v>79</v>
      </c>
      <c r="BD511" t="s">
        <v>79</v>
      </c>
      <c r="BG511" t="s">
        <v>82</v>
      </c>
      <c r="BH511">
        <v>24</v>
      </c>
      <c r="BI511" t="s">
        <v>190</v>
      </c>
      <c r="BJ511" t="s">
        <v>191</v>
      </c>
      <c r="BK511" t="str">
        <f>"JESUS T. ATTAO ROAD"</f>
        <v>JESUS T. ATTAO ROAD</v>
      </c>
      <c r="BL511" t="str">
        <f>"Garapan Village"</f>
        <v>Garapan Village</v>
      </c>
      <c r="BM511" t="str">
        <f>"Saipan"</f>
        <v>Saipan</v>
      </c>
      <c r="BO511" t="s">
        <v>83</v>
      </c>
      <c r="BP511" s="4" t="str">
        <f t="shared" si="282"/>
        <v>96950</v>
      </c>
      <c r="BQ511" t="s">
        <v>79</v>
      </c>
      <c r="BR511" t="str">
        <f>"49-9071.00"</f>
        <v>49-9071.00</v>
      </c>
      <c r="BS511" t="s">
        <v>146</v>
      </c>
      <c r="BT511" s="3">
        <v>9.19</v>
      </c>
      <c r="BU511" t="s">
        <v>80</v>
      </c>
      <c r="BV511" t="s">
        <v>90</v>
      </c>
      <c r="BW511" t="s">
        <v>92</v>
      </c>
      <c r="BZ511" s="1">
        <v>45107</v>
      </c>
    </row>
    <row r="512" spans="1:78" ht="15" customHeight="1" x14ac:dyDescent="0.25">
      <c r="A512" t="s">
        <v>192</v>
      </c>
      <c r="B512" t="s">
        <v>94</v>
      </c>
      <c r="C512" s="1">
        <v>44797</v>
      </c>
      <c r="D512" s="1">
        <v>44837</v>
      </c>
      <c r="H512" t="s">
        <v>78</v>
      </c>
      <c r="I512" t="str">
        <f>"Montilla"</f>
        <v>Montilla</v>
      </c>
      <c r="J512" t="str">
        <f>"Christylyn"</f>
        <v>Christylyn</v>
      </c>
      <c r="K512" t="str">
        <f>"Gomez"</f>
        <v>Gomez</v>
      </c>
      <c r="L512" t="str">
        <f>"Controller"</f>
        <v>Controller</v>
      </c>
      <c r="M512" t="str">
        <f>"817 JESUS T. ATTAO ROAD"</f>
        <v>817 JESUS T. ATTAO ROAD</v>
      </c>
      <c r="N512" t="str">
        <f>"Garapan Village, PO Box 5140 CHRB"</f>
        <v>Garapan Village, PO Box 5140 CHRB</v>
      </c>
      <c r="O512" t="str">
        <f>"Saipan"</f>
        <v>Saipan</v>
      </c>
      <c r="P512" t="str">
        <f t="shared" si="277"/>
        <v>MP</v>
      </c>
      <c r="Q512" s="4" t="str">
        <f t="shared" si="278"/>
        <v>96950</v>
      </c>
      <c r="R512" t="str">
        <f t="shared" si="279"/>
        <v>UNITED STATES OF AMERICA</v>
      </c>
      <c r="S512" t="str">
        <f>""</f>
        <v/>
      </c>
      <c r="T512" s="5" t="str">
        <f>"16702345050"</f>
        <v>16702345050</v>
      </c>
      <c r="U512" t="str">
        <f>""</f>
        <v/>
      </c>
      <c r="V512" s="5" t="str">
        <f>""</f>
        <v/>
      </c>
      <c r="W512" t="str">
        <f>"niizeki.intlspn@yahoo.com"</f>
        <v>niizeki.intlspn@yahoo.com</v>
      </c>
      <c r="X512" t="str">
        <f>"Niizeki International Saipan Co., Ltd."</f>
        <v>Niizeki International Saipan Co., Ltd.</v>
      </c>
      <c r="Y512" t="str">
        <f>"n/a"</f>
        <v>n/a</v>
      </c>
      <c r="Z512" t="str">
        <f>"817 JESUS T. ATTAO ROAD"</f>
        <v>817 JESUS T. ATTAO ROAD</v>
      </c>
      <c r="AA512" t="str">
        <f>"Garapan Village, PO Box 5140 CHRB"</f>
        <v>Garapan Village, PO Box 5140 CHRB</v>
      </c>
      <c r="AB512" t="str">
        <f>"Saipan"</f>
        <v>Saipan</v>
      </c>
      <c r="AC512" t="str">
        <f t="shared" si="280"/>
        <v>MP</v>
      </c>
      <c r="AD512" t="str">
        <f t="shared" si="281"/>
        <v>96950</v>
      </c>
      <c r="AE512" t="str">
        <f t="shared" si="273"/>
        <v>UNITED STATES OF AMERICA</v>
      </c>
      <c r="AF512" t="str">
        <f>""</f>
        <v/>
      </c>
      <c r="AG512" s="4" t="str">
        <f>"16702345050"</f>
        <v>16702345050</v>
      </c>
      <c r="AH512" t="str">
        <f>""</f>
        <v/>
      </c>
      <c r="AI512" t="str">
        <f>"56132"</f>
        <v>56132</v>
      </c>
      <c r="AJ512" t="s">
        <v>79</v>
      </c>
      <c r="AK512" t="s">
        <v>79</v>
      </c>
      <c r="AL512" t="s">
        <v>80</v>
      </c>
      <c r="AM512" t="s">
        <v>79</v>
      </c>
      <c r="AP512" t="str">
        <f>"Maid and Housekeeping Cleaner"</f>
        <v>Maid and Housekeeping Cleaner</v>
      </c>
      <c r="AQ512" t="str">
        <f>"37-2012.00"</f>
        <v>37-2012.00</v>
      </c>
      <c r="AR512" t="str">
        <f>"Maids and Housekeeping Cleaners"</f>
        <v>Maids and Housekeeping Cleaners</v>
      </c>
      <c r="AS512" t="str">
        <f>"Asst. General Manager"</f>
        <v>Asst. General Manager</v>
      </c>
      <c r="AT512" t="s">
        <v>79</v>
      </c>
      <c r="AU512" t="str">
        <f>""</f>
        <v/>
      </c>
      <c r="AV512" t="str">
        <f>""</f>
        <v/>
      </c>
      <c r="AW512" t="s">
        <v>79</v>
      </c>
      <c r="AX512" t="str">
        <f>""</f>
        <v/>
      </c>
      <c r="AY512" t="s">
        <v>81</v>
      </c>
      <c r="BA512" t="s">
        <v>119</v>
      </c>
      <c r="BB512" t="s">
        <v>79</v>
      </c>
      <c r="BD512" t="s">
        <v>79</v>
      </c>
      <c r="BG512" t="s">
        <v>82</v>
      </c>
      <c r="BH512">
        <v>3</v>
      </c>
      <c r="BI512" t="s">
        <v>193</v>
      </c>
      <c r="BJ512" t="s">
        <v>194</v>
      </c>
      <c r="BK512" t="str">
        <f>"JESUS T. ATTAO ROAD"</f>
        <v>JESUS T. ATTAO ROAD</v>
      </c>
      <c r="BL512" t="str">
        <f>"Garapan Village"</f>
        <v>Garapan Village</v>
      </c>
      <c r="BM512" t="str">
        <f>"Saipan"</f>
        <v>Saipan</v>
      </c>
      <c r="BO512" t="s">
        <v>83</v>
      </c>
      <c r="BP512" s="4" t="str">
        <f t="shared" si="282"/>
        <v>96950</v>
      </c>
      <c r="BQ512" t="s">
        <v>79</v>
      </c>
      <c r="BR512" t="str">
        <f>"37-2012.00"</f>
        <v>37-2012.00</v>
      </c>
      <c r="BS512" t="s">
        <v>109</v>
      </c>
      <c r="BT512" s="3">
        <v>7.56</v>
      </c>
      <c r="BU512" t="s">
        <v>80</v>
      </c>
      <c r="BV512" t="s">
        <v>90</v>
      </c>
      <c r="BW512" t="s">
        <v>92</v>
      </c>
      <c r="BZ512" s="1">
        <v>45107</v>
      </c>
    </row>
    <row r="513" spans="1:78" ht="15" customHeight="1" x14ac:dyDescent="0.25">
      <c r="A513" t="s">
        <v>195</v>
      </c>
      <c r="B513" t="s">
        <v>94</v>
      </c>
      <c r="C513" s="1">
        <v>44797</v>
      </c>
      <c r="D513" s="1">
        <v>44837</v>
      </c>
      <c r="H513" t="s">
        <v>78</v>
      </c>
      <c r="I513" t="str">
        <f>"CATALUNA"</f>
        <v>CATALUNA</v>
      </c>
      <c r="J513" t="str">
        <f>"FREDDIE"</f>
        <v>FREDDIE</v>
      </c>
      <c r="K513" t="str">
        <f>"ZAMORA"</f>
        <v>ZAMORA</v>
      </c>
      <c r="L513" t="str">
        <f>"PRESIDENT"</f>
        <v>PRESIDENT</v>
      </c>
      <c r="M513" t="str">
        <f>"P.O. 503984"</f>
        <v>P.O. 503984</v>
      </c>
      <c r="N513" t="str">
        <f>""</f>
        <v/>
      </c>
      <c r="O513" t="str">
        <f>"SAIPAN"</f>
        <v>SAIPAN</v>
      </c>
      <c r="P513" t="str">
        <f t="shared" si="277"/>
        <v>MP</v>
      </c>
      <c r="Q513" s="4" t="str">
        <f t="shared" si="278"/>
        <v>96950</v>
      </c>
      <c r="R513" t="str">
        <f t="shared" si="279"/>
        <v>UNITED STATES OF AMERICA</v>
      </c>
      <c r="S513" t="str">
        <f>"N/A"</f>
        <v>N/A</v>
      </c>
      <c r="T513" s="5" t="str">
        <f>"16702336927"</f>
        <v>16702336927</v>
      </c>
      <c r="U513" t="str">
        <f>""</f>
        <v/>
      </c>
      <c r="V513" s="5" t="str">
        <f>""</f>
        <v/>
      </c>
      <c r="W513" t="str">
        <f>"cpacificcorp@gmail.com"</f>
        <v>cpacificcorp@gmail.com</v>
      </c>
      <c r="X513" t="str">
        <f>"C PACIFIC CORPORATION"</f>
        <v>C PACIFIC CORPORATION</v>
      </c>
      <c r="Y513" t="str">
        <f>"Reliance Help Supply"</f>
        <v>Reliance Help Supply</v>
      </c>
      <c r="Z513" t="str">
        <f>"P.O. 503984"</f>
        <v>P.O. 503984</v>
      </c>
      <c r="AA513" t="str">
        <f>""</f>
        <v/>
      </c>
      <c r="AB513" t="str">
        <f>"SAIPAN"</f>
        <v>SAIPAN</v>
      </c>
      <c r="AC513" t="str">
        <f t="shared" si="280"/>
        <v>MP</v>
      </c>
      <c r="AD513" t="str">
        <f t="shared" si="281"/>
        <v>96950</v>
      </c>
      <c r="AE513" t="str">
        <f t="shared" si="273"/>
        <v>UNITED STATES OF AMERICA</v>
      </c>
      <c r="AF513" t="str">
        <f>"N/A"</f>
        <v>N/A</v>
      </c>
      <c r="AG513" s="4" t="str">
        <f>"16702336927"</f>
        <v>16702336927</v>
      </c>
      <c r="AH513" t="str">
        <f>""</f>
        <v/>
      </c>
      <c r="AI513" t="str">
        <f>"561320"</f>
        <v>561320</v>
      </c>
      <c r="AJ513" t="s">
        <v>79</v>
      </c>
      <c r="AK513" t="s">
        <v>79</v>
      </c>
      <c r="AL513" t="s">
        <v>80</v>
      </c>
      <c r="AM513" t="s">
        <v>79</v>
      </c>
      <c r="AP513" t="str">
        <f>"Facilities Technician"</f>
        <v>Facilities Technician</v>
      </c>
      <c r="AQ513" t="str">
        <f>"49-9071.00"</f>
        <v>49-9071.00</v>
      </c>
      <c r="AR513" t="str">
        <f>"Maintenance and Repair Workers, General"</f>
        <v>Maintenance and Repair Workers, General</v>
      </c>
      <c r="AS513" t="str">
        <f>"Maintenance Supervisor"</f>
        <v>Maintenance Supervisor</v>
      </c>
      <c r="AT513" t="s">
        <v>79</v>
      </c>
      <c r="AU513" t="str">
        <f>""</f>
        <v/>
      </c>
      <c r="AV513" t="str">
        <f>""</f>
        <v/>
      </c>
      <c r="AW513" t="s">
        <v>79</v>
      </c>
      <c r="AX513" t="str">
        <f>""</f>
        <v/>
      </c>
      <c r="AY513" t="s">
        <v>84</v>
      </c>
      <c r="BA513" t="s">
        <v>80</v>
      </c>
      <c r="BB513" t="s">
        <v>79</v>
      </c>
      <c r="BD513" t="s">
        <v>79</v>
      </c>
      <c r="BG513" t="s">
        <v>82</v>
      </c>
      <c r="BH513">
        <v>24</v>
      </c>
      <c r="BI513" t="s">
        <v>196</v>
      </c>
      <c r="BJ513" t="s">
        <v>197</v>
      </c>
      <c r="BK513" t="str">
        <f>"Beach Road San Antonio"</f>
        <v>Beach Road San Antonio</v>
      </c>
      <c r="BL513" t="str">
        <f>""</f>
        <v/>
      </c>
      <c r="BM513" t="str">
        <f>"Saipan"</f>
        <v>Saipan</v>
      </c>
      <c r="BO513" t="s">
        <v>83</v>
      </c>
      <c r="BP513" s="4" t="str">
        <f t="shared" si="282"/>
        <v>96950</v>
      </c>
      <c r="BQ513" t="s">
        <v>79</v>
      </c>
      <c r="BR513" t="str">
        <f>"49-9071.00"</f>
        <v>49-9071.00</v>
      </c>
      <c r="BS513" t="s">
        <v>146</v>
      </c>
      <c r="BT513" s="3">
        <v>9.19</v>
      </c>
      <c r="BU513" t="s">
        <v>80</v>
      </c>
      <c r="BV513" t="s">
        <v>90</v>
      </c>
      <c r="BW513" t="s">
        <v>92</v>
      </c>
      <c r="BZ513" s="1">
        <v>45107</v>
      </c>
    </row>
    <row r="514" spans="1:78" ht="15" customHeight="1" x14ac:dyDescent="0.25">
      <c r="A514" t="s">
        <v>198</v>
      </c>
      <c r="B514" t="s">
        <v>94</v>
      </c>
      <c r="C514" s="1">
        <v>44797</v>
      </c>
      <c r="D514" s="1">
        <v>44837</v>
      </c>
      <c r="H514" t="s">
        <v>78</v>
      </c>
      <c r="I514" t="str">
        <f>"RIVERA"</f>
        <v>RIVERA</v>
      </c>
      <c r="J514" t="str">
        <f>"CRISPINO"</f>
        <v>CRISPINO</v>
      </c>
      <c r="K514" t="str">
        <f>"TABIA"</f>
        <v>TABIA</v>
      </c>
      <c r="L514" t="str">
        <f>"OPERATION MANAGER"</f>
        <v>OPERATION MANAGER</v>
      </c>
      <c r="M514" t="str">
        <f>"S-103 TOWER PALACE"</f>
        <v>S-103 TOWER PALACE</v>
      </c>
      <c r="N514" t="str">
        <f>"PO BOX 505093, CK"</f>
        <v>PO BOX 505093, CK</v>
      </c>
      <c r="O514" t="str">
        <f>"SAIPAN MP"</f>
        <v>SAIPAN MP</v>
      </c>
      <c r="P514" t="str">
        <f t="shared" si="277"/>
        <v>MP</v>
      </c>
      <c r="Q514" s="4" t="str">
        <f t="shared" si="278"/>
        <v>96950</v>
      </c>
      <c r="R514" t="str">
        <f t="shared" si="279"/>
        <v>UNITED STATES OF AMERICA</v>
      </c>
      <c r="S514" t="str">
        <f>""</f>
        <v/>
      </c>
      <c r="T514" s="5" t="str">
        <f>"16704836526"</f>
        <v>16704836526</v>
      </c>
      <c r="U514" t="str">
        <f>""</f>
        <v/>
      </c>
      <c r="V514" s="5" t="str">
        <f>""</f>
        <v/>
      </c>
      <c r="W514" t="str">
        <f>"cris@royal-pacificexpress.com"</f>
        <v>cris@royal-pacificexpress.com</v>
      </c>
      <c r="X514" t="str">
        <f>"NJCM LOGISTICS LLC"</f>
        <v>NJCM LOGISTICS LLC</v>
      </c>
      <c r="Y514" t="str">
        <f>""</f>
        <v/>
      </c>
      <c r="Z514" t="str">
        <f>"tower place"</f>
        <v>tower place</v>
      </c>
      <c r="AA514" t="str">
        <f>"gualo rai"</f>
        <v>gualo rai</v>
      </c>
      <c r="AB514" t="str">
        <f>"saipan"</f>
        <v>saipan</v>
      </c>
      <c r="AC514" t="str">
        <f t="shared" si="280"/>
        <v>MP</v>
      </c>
      <c r="AD514" t="str">
        <f t="shared" si="281"/>
        <v>96950</v>
      </c>
      <c r="AE514" t="str">
        <f t="shared" si="273"/>
        <v>UNITED STATES OF AMERICA</v>
      </c>
      <c r="AF514" t="str">
        <f>""</f>
        <v/>
      </c>
      <c r="AG514" s="4" t="str">
        <f>"16704836526"</f>
        <v>16704836526</v>
      </c>
      <c r="AH514" t="str">
        <f>""</f>
        <v/>
      </c>
      <c r="AI514" t="str">
        <f>"561320"</f>
        <v>561320</v>
      </c>
      <c r="AJ514" t="s">
        <v>79</v>
      </c>
      <c r="AK514" t="s">
        <v>79</v>
      </c>
      <c r="AL514" t="s">
        <v>80</v>
      </c>
      <c r="AM514" t="s">
        <v>79</v>
      </c>
      <c r="AP514" t="str">
        <f>"MAINTENANCE AND REPAIR WORKERS, GENERAL"</f>
        <v>MAINTENANCE AND REPAIR WORKERS, GENERAL</v>
      </c>
      <c r="AQ514" t="str">
        <f>"49-9071.00"</f>
        <v>49-9071.00</v>
      </c>
      <c r="AR514" t="str">
        <f>"Maintenance and Repair Workers, General"</f>
        <v>Maintenance and Repair Workers, General</v>
      </c>
      <c r="AS514" t="str">
        <f>"OPERATION MANAGER"</f>
        <v>OPERATION MANAGER</v>
      </c>
      <c r="AT514" t="s">
        <v>79</v>
      </c>
      <c r="AU514" t="str">
        <f>""</f>
        <v/>
      </c>
      <c r="AV514" t="str">
        <f>""</f>
        <v/>
      </c>
      <c r="AW514" t="s">
        <v>82</v>
      </c>
      <c r="AX514" t="str">
        <f>"WITHIN CNMI ONLY"</f>
        <v>WITHIN CNMI ONLY</v>
      </c>
      <c r="AY514" t="s">
        <v>81</v>
      </c>
      <c r="BA514" t="s">
        <v>80</v>
      </c>
      <c r="BB514" t="s">
        <v>79</v>
      </c>
      <c r="BD514" t="s">
        <v>79</v>
      </c>
      <c r="BG514" t="s">
        <v>82</v>
      </c>
      <c r="BH514">
        <v>12</v>
      </c>
      <c r="BI514" t="s">
        <v>199</v>
      </c>
      <c r="BJ514" s="2" t="s">
        <v>200</v>
      </c>
      <c r="BK514" t="str">
        <f>"S-103 TOWER PALACE"</f>
        <v>S-103 TOWER PALACE</v>
      </c>
      <c r="BL514" t="str">
        <f>"PO BOX 505093, CK"</f>
        <v>PO BOX 505093, CK</v>
      </c>
      <c r="BM514" t="str">
        <f>"SAIPAN MP"</f>
        <v>SAIPAN MP</v>
      </c>
      <c r="BO514" t="s">
        <v>83</v>
      </c>
      <c r="BP514" s="4" t="str">
        <f t="shared" si="282"/>
        <v>96950</v>
      </c>
      <c r="BQ514" t="s">
        <v>82</v>
      </c>
      <c r="BR514" t="str">
        <f>"49-9071.00"</f>
        <v>49-9071.00</v>
      </c>
      <c r="BS514" t="s">
        <v>146</v>
      </c>
      <c r="BT514" s="3">
        <v>9.19</v>
      </c>
      <c r="BU514" t="s">
        <v>80</v>
      </c>
      <c r="BV514" t="s">
        <v>90</v>
      </c>
      <c r="BW514" t="s">
        <v>92</v>
      </c>
      <c r="BZ514" s="1">
        <v>45107</v>
      </c>
    </row>
    <row r="515" spans="1:78" ht="15" customHeight="1" x14ac:dyDescent="0.25">
      <c r="A515" t="s">
        <v>201</v>
      </c>
      <c r="B515" t="s">
        <v>94</v>
      </c>
      <c r="C515" s="1">
        <v>44797</v>
      </c>
      <c r="D515" s="1">
        <v>44837</v>
      </c>
      <c r="H515" t="s">
        <v>78</v>
      </c>
      <c r="I515" t="str">
        <f>"RIVERA"</f>
        <v>RIVERA</v>
      </c>
      <c r="J515" t="str">
        <f>"CRISPINO"</f>
        <v>CRISPINO</v>
      </c>
      <c r="K515" t="str">
        <f>"TABIA"</f>
        <v>TABIA</v>
      </c>
      <c r="L515" t="str">
        <f>"OPERATION MANAGER"</f>
        <v>OPERATION MANAGER</v>
      </c>
      <c r="M515" t="str">
        <f>"S-103 TOWER PALACE"</f>
        <v>S-103 TOWER PALACE</v>
      </c>
      <c r="N515" t="str">
        <f>"gualo rai"</f>
        <v>gualo rai</v>
      </c>
      <c r="O515" t="str">
        <f>"saipan"</f>
        <v>saipan</v>
      </c>
      <c r="P515" t="str">
        <f t="shared" si="277"/>
        <v>MP</v>
      </c>
      <c r="Q515" s="4" t="str">
        <f t="shared" si="278"/>
        <v>96950</v>
      </c>
      <c r="R515" t="str">
        <f t="shared" si="279"/>
        <v>UNITED STATES OF AMERICA</v>
      </c>
      <c r="S515" t="str">
        <f>""</f>
        <v/>
      </c>
      <c r="T515" s="5" t="str">
        <f>"16704836526"</f>
        <v>16704836526</v>
      </c>
      <c r="U515" t="str">
        <f>""</f>
        <v/>
      </c>
      <c r="V515" s="5" t="str">
        <f>""</f>
        <v/>
      </c>
      <c r="W515" t="str">
        <f>"cris@royal-pacificexpress.com"</f>
        <v>cris@royal-pacificexpress.com</v>
      </c>
      <c r="X515" t="str">
        <f>"NJCM LOGISTICS LLC"</f>
        <v>NJCM LOGISTICS LLC</v>
      </c>
      <c r="Y515" t="str">
        <f>""</f>
        <v/>
      </c>
      <c r="Z515" t="str">
        <f>"S-103 TOWER PALACE"</f>
        <v>S-103 TOWER PALACE</v>
      </c>
      <c r="AA515" t="str">
        <f>"PO BOX 505093, CK"</f>
        <v>PO BOX 505093, CK</v>
      </c>
      <c r="AB515" t="str">
        <f>"SAIPAN MP"</f>
        <v>SAIPAN MP</v>
      </c>
      <c r="AC515" t="str">
        <f t="shared" si="280"/>
        <v>MP</v>
      </c>
      <c r="AD515" t="str">
        <f t="shared" si="281"/>
        <v>96950</v>
      </c>
      <c r="AE515" t="str">
        <f t="shared" si="273"/>
        <v>UNITED STATES OF AMERICA</v>
      </c>
      <c r="AF515" t="str">
        <f>""</f>
        <v/>
      </c>
      <c r="AG515" s="4" t="str">
        <f>"16704836526"</f>
        <v>16704836526</v>
      </c>
      <c r="AH515" t="str">
        <f>""</f>
        <v/>
      </c>
      <c r="AI515" t="str">
        <f>"561320"</f>
        <v>561320</v>
      </c>
      <c r="AJ515" t="s">
        <v>79</v>
      </c>
      <c r="AK515" t="s">
        <v>79</v>
      </c>
      <c r="AL515" t="s">
        <v>80</v>
      </c>
      <c r="AM515" t="s">
        <v>79</v>
      </c>
      <c r="AP515" t="str">
        <f>"MAINTENANCE AND REPAIR WORKERS, GENERAL"</f>
        <v>MAINTENANCE AND REPAIR WORKERS, GENERAL</v>
      </c>
      <c r="AQ515" t="str">
        <f>"49-9071.00"</f>
        <v>49-9071.00</v>
      </c>
      <c r="AR515" t="str">
        <f>"Maintenance and Repair Workers, General"</f>
        <v>Maintenance and Repair Workers, General</v>
      </c>
      <c r="AS515" t="str">
        <f>"OPERATION MANAGER"</f>
        <v>OPERATION MANAGER</v>
      </c>
      <c r="AT515" t="s">
        <v>79</v>
      </c>
      <c r="AU515" t="str">
        <f>""</f>
        <v/>
      </c>
      <c r="AV515" t="str">
        <f>""</f>
        <v/>
      </c>
      <c r="AW515" t="s">
        <v>82</v>
      </c>
      <c r="AX515" t="str">
        <f>"WITHIN CNMI"</f>
        <v>WITHIN CNMI</v>
      </c>
      <c r="AY515" t="s">
        <v>81</v>
      </c>
      <c r="BA515" t="s">
        <v>115</v>
      </c>
      <c r="BB515" t="s">
        <v>79</v>
      </c>
      <c r="BD515" t="s">
        <v>79</v>
      </c>
      <c r="BG515" t="s">
        <v>82</v>
      </c>
      <c r="BH515">
        <v>12</v>
      </c>
      <c r="BI515" t="s">
        <v>199</v>
      </c>
      <c r="BJ515" s="2" t="s">
        <v>202</v>
      </c>
      <c r="BK515" t="str">
        <f>"S-103 TOWER PALACE"</f>
        <v>S-103 TOWER PALACE</v>
      </c>
      <c r="BL515" t="str">
        <f>"PO BOX 505093, CK"</f>
        <v>PO BOX 505093, CK</v>
      </c>
      <c r="BM515" t="str">
        <f>"SAIPAN MP"</f>
        <v>SAIPAN MP</v>
      </c>
      <c r="BO515" t="s">
        <v>83</v>
      </c>
      <c r="BP515" s="4" t="str">
        <f t="shared" si="282"/>
        <v>96950</v>
      </c>
      <c r="BQ515" t="s">
        <v>82</v>
      </c>
      <c r="BR515" t="str">
        <f>"49-9071.00"</f>
        <v>49-9071.00</v>
      </c>
      <c r="BS515" t="s">
        <v>146</v>
      </c>
      <c r="BT515" s="3">
        <v>9.19</v>
      </c>
      <c r="BU515" t="s">
        <v>80</v>
      </c>
      <c r="BV515" t="s">
        <v>90</v>
      </c>
      <c r="BW515" t="s">
        <v>92</v>
      </c>
      <c r="BZ515" s="1">
        <v>45107</v>
      </c>
    </row>
    <row r="516" spans="1:78" ht="15" customHeight="1" x14ac:dyDescent="0.25">
      <c r="A516" t="s">
        <v>203</v>
      </c>
      <c r="B516" t="s">
        <v>94</v>
      </c>
      <c r="C516" s="1">
        <v>44797</v>
      </c>
      <c r="D516" s="1">
        <v>44837</v>
      </c>
      <c r="H516" t="s">
        <v>78</v>
      </c>
      <c r="I516" t="str">
        <f>"MANGLONA"</f>
        <v>MANGLONA</v>
      </c>
      <c r="J516" t="str">
        <f>"JOAQUIN"</f>
        <v>JOAQUIN</v>
      </c>
      <c r="K516" t="str">
        <f>"CAMACHO"</f>
        <v>CAMACHO</v>
      </c>
      <c r="L516" t="str">
        <f>"MANAGER"</f>
        <v>MANAGER</v>
      </c>
      <c r="M516" t="str">
        <f>"P O BOX 505736"</f>
        <v>P O BOX 505736</v>
      </c>
      <c r="N516" t="str">
        <f>"LOWER BASE"</f>
        <v>LOWER BASE</v>
      </c>
      <c r="O516" t="str">
        <f>"SAIPAN"</f>
        <v>SAIPAN</v>
      </c>
      <c r="P516" t="str">
        <f t="shared" si="277"/>
        <v>MP</v>
      </c>
      <c r="Q516" s="4" t="str">
        <f t="shared" si="278"/>
        <v>96950</v>
      </c>
      <c r="R516" t="str">
        <f t="shared" si="279"/>
        <v>UNITED STATES OF AMERICA</v>
      </c>
      <c r="S516" t="str">
        <f>"NA"</f>
        <v>NA</v>
      </c>
      <c r="T516" s="5" t="str">
        <f>"16702858455"</f>
        <v>16702858455</v>
      </c>
      <c r="U516" t="str">
        <f>""</f>
        <v/>
      </c>
      <c r="V516" s="5" t="str">
        <f>""</f>
        <v/>
      </c>
      <c r="W516" t="str">
        <f>"jcmanglona@gmail.com"</f>
        <v>jcmanglona@gmail.com</v>
      </c>
      <c r="X516" t="str">
        <f>"TINIAN SHIPPING SERVICES LLC"</f>
        <v>TINIAN SHIPPING SERVICES LLC</v>
      </c>
      <c r="Y516" t="str">
        <f>""</f>
        <v/>
      </c>
      <c r="Z516" t="str">
        <f>"P O BOX 505736"</f>
        <v>P O BOX 505736</v>
      </c>
      <c r="AA516" t="str">
        <f>"LOWER BASE"</f>
        <v>LOWER BASE</v>
      </c>
      <c r="AB516" t="str">
        <f>"SAIPAN"</f>
        <v>SAIPAN</v>
      </c>
      <c r="AC516" t="str">
        <f t="shared" si="280"/>
        <v>MP</v>
      </c>
      <c r="AD516" t="str">
        <f t="shared" si="281"/>
        <v>96950</v>
      </c>
      <c r="AE516" t="str">
        <f t="shared" si="273"/>
        <v>UNITED STATES OF AMERICA</v>
      </c>
      <c r="AF516" t="str">
        <f>"NA"</f>
        <v>NA</v>
      </c>
      <c r="AG516" s="4" t="str">
        <f>"16702858455"</f>
        <v>16702858455</v>
      </c>
      <c r="AH516" t="str">
        <f>""</f>
        <v/>
      </c>
      <c r="AI516" t="str">
        <f>"48321"</f>
        <v>48321</v>
      </c>
      <c r="AJ516" t="s">
        <v>79</v>
      </c>
      <c r="AK516" t="s">
        <v>79</v>
      </c>
      <c r="AL516" t="s">
        <v>80</v>
      </c>
      <c r="AM516" t="s">
        <v>79</v>
      </c>
      <c r="AP516" t="str">
        <f>"BOOKKEEPER"</f>
        <v>BOOKKEEPER</v>
      </c>
      <c r="AQ516" t="str">
        <f>"43-3031.00"</f>
        <v>43-3031.00</v>
      </c>
      <c r="AR516" t="str">
        <f>"Bookkeeping, Accounting, and Auditing Clerks"</f>
        <v>Bookkeeping, Accounting, and Auditing Clerks</v>
      </c>
      <c r="AS516" t="str">
        <f>"MANAGER"</f>
        <v>MANAGER</v>
      </c>
      <c r="AT516" t="s">
        <v>79</v>
      </c>
      <c r="AU516" t="str">
        <f>""</f>
        <v/>
      </c>
      <c r="AV516" t="str">
        <f>""</f>
        <v/>
      </c>
      <c r="AW516" t="s">
        <v>79</v>
      </c>
      <c r="AX516" t="str">
        <f>""</f>
        <v/>
      </c>
      <c r="AY516" t="s">
        <v>124</v>
      </c>
      <c r="BA516" t="s">
        <v>204</v>
      </c>
      <c r="BB516" t="s">
        <v>79</v>
      </c>
      <c r="BD516" t="s">
        <v>79</v>
      </c>
      <c r="BG516" t="s">
        <v>82</v>
      </c>
      <c r="BH516">
        <v>6</v>
      </c>
      <c r="BI516" t="s">
        <v>205</v>
      </c>
      <c r="BJ516" t="s">
        <v>206</v>
      </c>
      <c r="BK516" t="str">
        <f>"LOWER BASE DRIVE, LOWER BASE VILLAGE"</f>
        <v>LOWER BASE DRIVE, LOWER BASE VILLAGE</v>
      </c>
      <c r="BL516" t="str">
        <f>"LOT#193 E 01"</f>
        <v>LOT#193 E 01</v>
      </c>
      <c r="BM516" t="str">
        <f>"SAIPAN"</f>
        <v>SAIPAN</v>
      </c>
      <c r="BO516" t="s">
        <v>83</v>
      </c>
      <c r="BP516" s="4" t="str">
        <f t="shared" si="282"/>
        <v>96950</v>
      </c>
      <c r="BQ516" t="s">
        <v>79</v>
      </c>
      <c r="BR516" t="str">
        <f>"43-3031.00"</f>
        <v>43-3031.00</v>
      </c>
      <c r="BS516" t="s">
        <v>142</v>
      </c>
      <c r="BT516" s="3">
        <v>11.21</v>
      </c>
      <c r="BU516" t="s">
        <v>80</v>
      </c>
      <c r="BV516" t="s">
        <v>90</v>
      </c>
      <c r="BW516" t="s">
        <v>92</v>
      </c>
      <c r="BZ516" s="1">
        <v>45107</v>
      </c>
    </row>
    <row r="517" spans="1:78" ht="15" customHeight="1" x14ac:dyDescent="0.25">
      <c r="A517" t="s">
        <v>207</v>
      </c>
      <c r="B517" t="s">
        <v>94</v>
      </c>
      <c r="C517" s="1">
        <v>44797</v>
      </c>
      <c r="D517" s="1">
        <v>44837</v>
      </c>
      <c r="H517" t="s">
        <v>78</v>
      </c>
      <c r="I517" t="str">
        <f>"RIVERA"</f>
        <v>RIVERA</v>
      </c>
      <c r="J517" t="str">
        <f>"CRISPINO"</f>
        <v>CRISPINO</v>
      </c>
      <c r="K517" t="str">
        <f>"TABIA"</f>
        <v>TABIA</v>
      </c>
      <c r="L517" t="str">
        <f>"OPERATION MANAGER"</f>
        <v>OPERATION MANAGER</v>
      </c>
      <c r="M517" t="str">
        <f>"S-103 TOWER PALACE"</f>
        <v>S-103 TOWER PALACE</v>
      </c>
      <c r="N517" t="str">
        <f>"PO BOX 505093, CK"</f>
        <v>PO BOX 505093, CK</v>
      </c>
      <c r="O517" t="str">
        <f>"SAIPAN MP"</f>
        <v>SAIPAN MP</v>
      </c>
      <c r="P517" t="str">
        <f t="shared" si="277"/>
        <v>MP</v>
      </c>
      <c r="Q517" s="4" t="str">
        <f t="shared" si="278"/>
        <v>96950</v>
      </c>
      <c r="R517" t="str">
        <f t="shared" si="279"/>
        <v>UNITED STATES OF AMERICA</v>
      </c>
      <c r="S517" t="str">
        <f>""</f>
        <v/>
      </c>
      <c r="T517" s="5" t="str">
        <f>"16704836526"</f>
        <v>16704836526</v>
      </c>
      <c r="U517" t="str">
        <f>""</f>
        <v/>
      </c>
      <c r="V517" s="5" t="str">
        <f>""</f>
        <v/>
      </c>
      <c r="W517" t="str">
        <f>"cris@royal-pacificexpress.com"</f>
        <v>cris@royal-pacificexpress.com</v>
      </c>
      <c r="X517" t="str">
        <f>"NJCM LOGISTICS LLC"</f>
        <v>NJCM LOGISTICS LLC</v>
      </c>
      <c r="Y517" t="str">
        <f>"DECM CONSULTANCY"</f>
        <v>DECM CONSULTANCY</v>
      </c>
      <c r="Z517" t="str">
        <f>"S-103 TOWER PALACE"</f>
        <v>S-103 TOWER PALACE</v>
      </c>
      <c r="AA517" t="str">
        <f>"PO BOX 505093, CK"</f>
        <v>PO BOX 505093, CK</v>
      </c>
      <c r="AB517" t="str">
        <f>"SAIPAN MP"</f>
        <v>SAIPAN MP</v>
      </c>
      <c r="AC517" t="str">
        <f t="shared" si="280"/>
        <v>MP</v>
      </c>
      <c r="AD517" t="str">
        <f t="shared" si="281"/>
        <v>96950</v>
      </c>
      <c r="AE517" t="str">
        <f t="shared" si="273"/>
        <v>UNITED STATES OF AMERICA</v>
      </c>
      <c r="AF517" t="str">
        <f>""</f>
        <v/>
      </c>
      <c r="AG517" s="4" t="str">
        <f>"16704836526"</f>
        <v>16704836526</v>
      </c>
      <c r="AH517" t="str">
        <f>""</f>
        <v/>
      </c>
      <c r="AI517" t="str">
        <f>"236220"</f>
        <v>236220</v>
      </c>
      <c r="AJ517" t="s">
        <v>79</v>
      </c>
      <c r="AK517" t="s">
        <v>79</v>
      </c>
      <c r="AL517" t="s">
        <v>80</v>
      </c>
      <c r="AM517" t="s">
        <v>79</v>
      </c>
      <c r="AP517" t="str">
        <f>"MAINTENANCE AND REPAIR WORKERS, GENERAL"</f>
        <v>MAINTENANCE AND REPAIR WORKERS, GENERAL</v>
      </c>
      <c r="AQ517" t="str">
        <f>"49-9071.00"</f>
        <v>49-9071.00</v>
      </c>
      <c r="AR517" t="str">
        <f>"Maintenance and Repair Workers, General"</f>
        <v>Maintenance and Repair Workers, General</v>
      </c>
      <c r="AS517" t="str">
        <f>"OPERATION MANAGER"</f>
        <v>OPERATION MANAGER</v>
      </c>
      <c r="AT517" t="s">
        <v>79</v>
      </c>
      <c r="AU517" t="str">
        <f>""</f>
        <v/>
      </c>
      <c r="AV517" t="str">
        <f>""</f>
        <v/>
      </c>
      <c r="AW517" t="s">
        <v>82</v>
      </c>
      <c r="AX517" t="str">
        <f>"WITH IN CNMI AS NEEEDED"</f>
        <v>WITH IN CNMI AS NEEEDED</v>
      </c>
      <c r="AY517" t="s">
        <v>81</v>
      </c>
      <c r="BA517" t="s">
        <v>115</v>
      </c>
      <c r="BB517" t="s">
        <v>79</v>
      </c>
      <c r="BD517" t="s">
        <v>79</v>
      </c>
      <c r="BG517" t="s">
        <v>82</v>
      </c>
      <c r="BH517">
        <v>12</v>
      </c>
      <c r="BI517" t="s">
        <v>208</v>
      </c>
      <c r="BJ517" s="2" t="s">
        <v>209</v>
      </c>
      <c r="BK517" t="str">
        <f>"S-103 TOWER PALACE"</f>
        <v>S-103 TOWER PALACE</v>
      </c>
      <c r="BL517" t="str">
        <f>"PO BOX 505093, CK"</f>
        <v>PO BOX 505093, CK</v>
      </c>
      <c r="BM517" t="str">
        <f>"SAIPAN MP"</f>
        <v>SAIPAN MP</v>
      </c>
      <c r="BO517" t="s">
        <v>83</v>
      </c>
      <c r="BP517" s="4" t="str">
        <f t="shared" si="282"/>
        <v>96950</v>
      </c>
      <c r="BQ517" t="s">
        <v>82</v>
      </c>
      <c r="BR517" t="str">
        <f>"49-9071.00"</f>
        <v>49-9071.00</v>
      </c>
      <c r="BS517" t="s">
        <v>146</v>
      </c>
      <c r="BT517" s="3">
        <v>9.19</v>
      </c>
      <c r="BU517" t="s">
        <v>80</v>
      </c>
      <c r="BV517" t="s">
        <v>90</v>
      </c>
      <c r="BW517" t="s">
        <v>92</v>
      </c>
      <c r="BZ517" s="1">
        <v>45107</v>
      </c>
    </row>
    <row r="518" spans="1:78" ht="15" customHeight="1" x14ac:dyDescent="0.25">
      <c r="A518" t="s">
        <v>210</v>
      </c>
      <c r="B518" t="s">
        <v>94</v>
      </c>
      <c r="C518" s="1">
        <v>44797</v>
      </c>
      <c r="D518" s="1">
        <v>44837</v>
      </c>
      <c r="H518" t="s">
        <v>78</v>
      </c>
      <c r="I518" t="str">
        <f>"Deleon Guerrero"</f>
        <v>Deleon Guerrero</v>
      </c>
      <c r="J518" t="str">
        <f>"Ni"</f>
        <v>Ni</v>
      </c>
      <c r="K518" t="str">
        <f>"N"</f>
        <v>N</v>
      </c>
      <c r="L518" t="str">
        <f>"General Manager"</f>
        <v>General Manager</v>
      </c>
      <c r="M518" t="str">
        <f>"PMB 145 PO Box 10003"</f>
        <v>PMB 145 PO Box 10003</v>
      </c>
      <c r="N518" t="str">
        <f>""</f>
        <v/>
      </c>
      <c r="O518" t="str">
        <f>"Saipan"</f>
        <v>Saipan</v>
      </c>
      <c r="P518" t="str">
        <f t="shared" si="277"/>
        <v>MP</v>
      </c>
      <c r="Q518" s="4" t="str">
        <f t="shared" si="278"/>
        <v>96950</v>
      </c>
      <c r="R518" t="str">
        <f t="shared" si="279"/>
        <v>UNITED STATES OF AMERICA</v>
      </c>
      <c r="S518" t="str">
        <f>""</f>
        <v/>
      </c>
      <c r="T518" s="5" t="str">
        <f>"16702343926"</f>
        <v>16702343926</v>
      </c>
      <c r="U518" t="str">
        <f>"103"</f>
        <v>103</v>
      </c>
      <c r="V518" s="5" t="str">
        <f>""</f>
        <v/>
      </c>
      <c r="W518" t="str">
        <f>"nidlg78@gmail.com"</f>
        <v>nidlg78@gmail.com</v>
      </c>
      <c r="X518" t="str">
        <f>"MMC &amp; Pacific Labs, LLC"</f>
        <v>MMC &amp; Pacific Labs, LLC</v>
      </c>
      <c r="Y518" t="str">
        <f>""</f>
        <v/>
      </c>
      <c r="Z518" t="str">
        <f>"PMB 145 PO Box 10003"</f>
        <v>PMB 145 PO Box 10003</v>
      </c>
      <c r="AA518" t="str">
        <f>""</f>
        <v/>
      </c>
      <c r="AB518" t="str">
        <f>"Saipan"</f>
        <v>Saipan</v>
      </c>
      <c r="AC518" t="str">
        <f t="shared" si="280"/>
        <v>MP</v>
      </c>
      <c r="AD518" t="str">
        <f t="shared" si="281"/>
        <v>96950</v>
      </c>
      <c r="AE518" t="str">
        <f t="shared" si="273"/>
        <v>UNITED STATES OF AMERICA</v>
      </c>
      <c r="AF518" t="str">
        <f>""</f>
        <v/>
      </c>
      <c r="AG518" s="4" t="str">
        <f>"16702343926"</f>
        <v>16702343926</v>
      </c>
      <c r="AH518" t="str">
        <f>"103"</f>
        <v>103</v>
      </c>
      <c r="AI518" t="str">
        <f>"6215"</f>
        <v>6215</v>
      </c>
      <c r="AJ518" t="s">
        <v>79</v>
      </c>
      <c r="AK518" t="s">
        <v>79</v>
      </c>
      <c r="AL518" t="s">
        <v>80</v>
      </c>
      <c r="AM518" t="s">
        <v>79</v>
      </c>
      <c r="AP518" t="str">
        <f>"Radiologic Technician"</f>
        <v>Radiologic Technician</v>
      </c>
      <c r="AQ518" t="str">
        <f>"29-2034.00"</f>
        <v>29-2034.00</v>
      </c>
      <c r="AR518" t="str">
        <f>"Radiologic Technologists and Technicians"</f>
        <v>Radiologic Technologists and Technicians</v>
      </c>
      <c r="AS518" t="str">
        <f>"General Manager"</f>
        <v>General Manager</v>
      </c>
      <c r="AT518" t="s">
        <v>79</v>
      </c>
      <c r="AU518" t="str">
        <f>""</f>
        <v/>
      </c>
      <c r="AV518" t="str">
        <f>""</f>
        <v/>
      </c>
      <c r="AW518" t="s">
        <v>79</v>
      </c>
      <c r="AX518" t="str">
        <f>""</f>
        <v/>
      </c>
      <c r="AY518" t="s">
        <v>95</v>
      </c>
      <c r="BA518" t="s">
        <v>211</v>
      </c>
      <c r="BB518" t="s">
        <v>79</v>
      </c>
      <c r="BD518" t="s">
        <v>79</v>
      </c>
      <c r="BG518" t="s">
        <v>82</v>
      </c>
      <c r="BH518">
        <v>12</v>
      </c>
      <c r="BI518" t="s">
        <v>212</v>
      </c>
      <c r="BJ518" t="s">
        <v>213</v>
      </c>
      <c r="BK518" t="str">
        <f>"JKR Building Beach road"</f>
        <v>JKR Building Beach road</v>
      </c>
      <c r="BL518" t="str">
        <f>"Garapan"</f>
        <v>Garapan</v>
      </c>
      <c r="BM518" t="str">
        <f>"Saipan"</f>
        <v>Saipan</v>
      </c>
      <c r="BO518" t="s">
        <v>83</v>
      </c>
      <c r="BP518" s="4" t="str">
        <f t="shared" si="282"/>
        <v>96950</v>
      </c>
      <c r="BQ518" t="s">
        <v>79</v>
      </c>
      <c r="BR518" t="str">
        <f>"29-2034.00"</f>
        <v>29-2034.00</v>
      </c>
      <c r="BS518" t="s">
        <v>214</v>
      </c>
      <c r="BT518" s="3">
        <v>15.18</v>
      </c>
      <c r="BU518" t="s">
        <v>80</v>
      </c>
      <c r="BV518" t="s">
        <v>90</v>
      </c>
      <c r="BW518" t="s">
        <v>92</v>
      </c>
      <c r="BZ518" s="1">
        <v>45107</v>
      </c>
    </row>
    <row r="519" spans="1:78" ht="15" customHeight="1" x14ac:dyDescent="0.25">
      <c r="A519" t="s">
        <v>215</v>
      </c>
      <c r="B519" t="s">
        <v>94</v>
      </c>
      <c r="C519" s="1">
        <v>44797</v>
      </c>
      <c r="D519" s="1">
        <v>44837</v>
      </c>
      <c r="H519" t="s">
        <v>78</v>
      </c>
      <c r="I519" t="str">
        <f>"LI"</f>
        <v>LI</v>
      </c>
      <c r="J519" t="str">
        <f>"GUANGCHAO"</f>
        <v>GUANGCHAO</v>
      </c>
      <c r="K519" t="str">
        <f>""</f>
        <v/>
      </c>
      <c r="L519" t="str">
        <f>"PRESIDENT"</f>
        <v>PRESIDENT</v>
      </c>
      <c r="M519" t="str">
        <f>"PMB A-4 BOX 10001"</f>
        <v>PMB A-4 BOX 10001</v>
      </c>
      <c r="N519" t="str">
        <f>"GUALO RAI"</f>
        <v>GUALO RAI</v>
      </c>
      <c r="O519" t="str">
        <f>"SAIPAN"</f>
        <v>SAIPAN</v>
      </c>
      <c r="P519" t="str">
        <f t="shared" si="277"/>
        <v>MP</v>
      </c>
      <c r="Q519" s="4" t="str">
        <f t="shared" si="278"/>
        <v>96950</v>
      </c>
      <c r="R519" t="str">
        <f t="shared" si="279"/>
        <v>UNITED STATES OF AMERICA</v>
      </c>
      <c r="S519" t="str">
        <f>"NA"</f>
        <v>NA</v>
      </c>
      <c r="T519" s="5" t="str">
        <f>"16709893182"</f>
        <v>16709893182</v>
      </c>
      <c r="U519" t="str">
        <f>""</f>
        <v/>
      </c>
      <c r="V519" s="5" t="str">
        <f>""</f>
        <v/>
      </c>
      <c r="W519" t="str">
        <f>"vip.corp.sp@gmail.com"</f>
        <v>vip.corp.sp@gmail.com</v>
      </c>
      <c r="X519" t="str">
        <f>"VIP CORPORATION"</f>
        <v>VIP CORPORATION</v>
      </c>
      <c r="Y519" t="str">
        <f>"VIP TINTING SERVICES"</f>
        <v>VIP TINTING SERVICES</v>
      </c>
      <c r="Z519" t="str">
        <f>"PMB A-4 BOX 10001"</f>
        <v>PMB A-4 BOX 10001</v>
      </c>
      <c r="AA519" t="str">
        <f>""</f>
        <v/>
      </c>
      <c r="AB519" t="str">
        <f>"SAIPAN"</f>
        <v>SAIPAN</v>
      </c>
      <c r="AC519" t="str">
        <f t="shared" si="280"/>
        <v>MP</v>
      </c>
      <c r="AD519" t="str">
        <f t="shared" si="281"/>
        <v>96950</v>
      </c>
      <c r="AE519" t="str">
        <f t="shared" ref="AE519:AE538" si="283">"UNITED STATES OF AMERICA"</f>
        <v>UNITED STATES OF AMERICA</v>
      </c>
      <c r="AF519" t="str">
        <f>"NA"</f>
        <v>NA</v>
      </c>
      <c r="AG519" s="4" t="str">
        <f>"16709893182"</f>
        <v>16709893182</v>
      </c>
      <c r="AH519" t="str">
        <f>""</f>
        <v/>
      </c>
      <c r="AI519" t="str">
        <f>"811198"</f>
        <v>811198</v>
      </c>
      <c r="AJ519" t="s">
        <v>79</v>
      </c>
      <c r="AK519" t="s">
        <v>79</v>
      </c>
      <c r="AL519" t="s">
        <v>80</v>
      </c>
      <c r="AM519" t="s">
        <v>79</v>
      </c>
      <c r="AP519" t="str">
        <f>"MAINTENANCE-TINT INSTALLER"</f>
        <v>MAINTENANCE-TINT INSTALLER</v>
      </c>
      <c r="AQ519" t="str">
        <f>"49-9099.00"</f>
        <v>49-9099.00</v>
      </c>
      <c r="AR519" t="str">
        <f>"Installation, Maintenance, and Repair Workers, All Other"</f>
        <v>Installation, Maintenance, and Repair Workers, All Other</v>
      </c>
      <c r="AS519" t="str">
        <f>"MANAGER"</f>
        <v>MANAGER</v>
      </c>
      <c r="AT519" t="s">
        <v>79</v>
      </c>
      <c r="AU519" t="str">
        <f>""</f>
        <v/>
      </c>
      <c r="AV519" t="str">
        <f>""</f>
        <v/>
      </c>
      <c r="AW519" t="s">
        <v>79</v>
      </c>
      <c r="AX519" t="str">
        <f>""</f>
        <v/>
      </c>
      <c r="AY519" t="s">
        <v>81</v>
      </c>
      <c r="BA519" t="s">
        <v>206</v>
      </c>
      <c r="BB519" t="s">
        <v>79</v>
      </c>
      <c r="BD519" t="s">
        <v>79</v>
      </c>
      <c r="BG519" t="s">
        <v>82</v>
      </c>
      <c r="BH519">
        <v>12</v>
      </c>
      <c r="BI519" t="s">
        <v>206</v>
      </c>
      <c r="BJ519" t="s">
        <v>206</v>
      </c>
      <c r="BK519" t="str">
        <f>"CHALAN PALE ARNOLD"</f>
        <v>CHALAN PALE ARNOLD</v>
      </c>
      <c r="BL519" t="str">
        <f>"GUALO RAI VILLAGE, MIDDLE ROAD"</f>
        <v>GUALO RAI VILLAGE, MIDDLE ROAD</v>
      </c>
      <c r="BM519" t="str">
        <f>"SAIPAN"</f>
        <v>SAIPAN</v>
      </c>
      <c r="BO519" t="s">
        <v>83</v>
      </c>
      <c r="BP519" s="4" t="str">
        <f t="shared" si="282"/>
        <v>96950</v>
      </c>
      <c r="BQ519" t="s">
        <v>79</v>
      </c>
      <c r="BR519" t="str">
        <f>"49-9099.00"</f>
        <v>49-9099.00</v>
      </c>
      <c r="BS519" t="s">
        <v>216</v>
      </c>
      <c r="BT519" s="3">
        <v>9.6</v>
      </c>
      <c r="BU519" t="s">
        <v>80</v>
      </c>
      <c r="BV519" t="s">
        <v>90</v>
      </c>
      <c r="BW519" t="s">
        <v>92</v>
      </c>
      <c r="BZ519" s="1">
        <v>45107</v>
      </c>
    </row>
    <row r="520" spans="1:78" ht="15" customHeight="1" x14ac:dyDescent="0.25">
      <c r="A520" t="s">
        <v>171</v>
      </c>
      <c r="B520" t="s">
        <v>94</v>
      </c>
      <c r="C520" s="1">
        <v>44796</v>
      </c>
      <c r="D520" s="1">
        <v>44837</v>
      </c>
      <c r="H520" t="s">
        <v>78</v>
      </c>
      <c r="I520" t="str">
        <f>"ALVARADO "</f>
        <v xml:space="preserve">ALVARADO </v>
      </c>
      <c r="J520" t="str">
        <f>"ALFADEL"</f>
        <v>ALFADEL</v>
      </c>
      <c r="K520" t="str">
        <f>"ZULUETA "</f>
        <v xml:space="preserve">ZULUETA </v>
      </c>
      <c r="L520" t="str">
        <f>"VICE-PRESIDENT"</f>
        <v>VICE-PRESIDENT</v>
      </c>
      <c r="M520" t="str">
        <f>"P.O BOX 5054 CHRB "</f>
        <v xml:space="preserve">P.O BOX 5054 CHRB </v>
      </c>
      <c r="N520" t="str">
        <f>"MONSIGNOR GUERRERO ROAD CHALAN KIYA "</f>
        <v xml:space="preserve">MONSIGNOR GUERRERO ROAD CHALAN KIYA </v>
      </c>
      <c r="O520" t="str">
        <f>"SAIPAN "</f>
        <v xml:space="preserve">SAIPAN </v>
      </c>
      <c r="P520" t="str">
        <f t="shared" si="277"/>
        <v>MP</v>
      </c>
      <c r="Q520" s="4" t="str">
        <f t="shared" si="278"/>
        <v>96950</v>
      </c>
      <c r="R520" t="str">
        <f t="shared" si="279"/>
        <v>UNITED STATES OF AMERICA</v>
      </c>
      <c r="S520" t="str">
        <f>""</f>
        <v/>
      </c>
      <c r="T520" s="5" t="str">
        <f>"16702343870"</f>
        <v>16702343870</v>
      </c>
      <c r="U520" t="str">
        <f>""</f>
        <v/>
      </c>
      <c r="V520" s="5" t="str">
        <f>""</f>
        <v/>
      </c>
      <c r="W520" t="str">
        <f>"winzycorporation@gmail.com"</f>
        <v>winzycorporation@gmail.com</v>
      </c>
      <c r="X520" t="str">
        <f>"WINZY CORPORATION "</f>
        <v xml:space="preserve">WINZY CORPORATION </v>
      </c>
      <c r="Y520" t="str">
        <f>""</f>
        <v/>
      </c>
      <c r="Z520" t="str">
        <f>"P.O BOX 5054 CHRB "</f>
        <v xml:space="preserve">P.O BOX 5054 CHRB </v>
      </c>
      <c r="AA520" t="str">
        <f>"MONSIGNOR GUERRERO ROAD CHALAN KIYA "</f>
        <v xml:space="preserve">MONSIGNOR GUERRERO ROAD CHALAN KIYA </v>
      </c>
      <c r="AB520" t="str">
        <f>"SAIPAN "</f>
        <v xml:space="preserve">SAIPAN </v>
      </c>
      <c r="AC520" t="str">
        <f t="shared" si="280"/>
        <v>MP</v>
      </c>
      <c r="AD520" t="str">
        <f t="shared" si="281"/>
        <v>96950</v>
      </c>
      <c r="AE520" t="str">
        <f t="shared" si="283"/>
        <v>UNITED STATES OF AMERICA</v>
      </c>
      <c r="AF520" t="str">
        <f>""</f>
        <v/>
      </c>
      <c r="AG520" s="4" t="str">
        <f>"16702343870"</f>
        <v>16702343870</v>
      </c>
      <c r="AH520" t="str">
        <f>""</f>
        <v/>
      </c>
      <c r="AI520" t="str">
        <f>"238990"</f>
        <v>238990</v>
      </c>
      <c r="AJ520" t="s">
        <v>79</v>
      </c>
      <c r="AK520" t="s">
        <v>79</v>
      </c>
      <c r="AL520" t="s">
        <v>80</v>
      </c>
      <c r="AM520" t="s">
        <v>79</v>
      </c>
      <c r="AP520" t="str">
        <f>"MAINTENANCE AND REPAIR WORKERS, GENERAL "</f>
        <v xml:space="preserve">MAINTENANCE AND REPAIR WORKERS, GENERAL </v>
      </c>
      <c r="AQ520" t="str">
        <f>"49-9071.00"</f>
        <v>49-9071.00</v>
      </c>
      <c r="AR520" t="str">
        <f>"Maintenance and Repair Workers, General"</f>
        <v>Maintenance and Repair Workers, General</v>
      </c>
      <c r="AS520" t="str">
        <f>"GENERAL MANAGER "</f>
        <v xml:space="preserve">GENERAL MANAGER </v>
      </c>
      <c r="AT520" t="s">
        <v>79</v>
      </c>
      <c r="AU520" t="str">
        <f>""</f>
        <v/>
      </c>
      <c r="AV520" t="str">
        <f>""</f>
        <v/>
      </c>
      <c r="AW520" t="s">
        <v>79</v>
      </c>
      <c r="AX520" t="str">
        <f>""</f>
        <v/>
      </c>
      <c r="AY520" t="s">
        <v>84</v>
      </c>
      <c r="BA520" t="s">
        <v>80</v>
      </c>
      <c r="BB520" t="s">
        <v>79</v>
      </c>
      <c r="BD520" t="s">
        <v>79</v>
      </c>
      <c r="BG520" t="s">
        <v>82</v>
      </c>
      <c r="BH520">
        <v>12</v>
      </c>
      <c r="BI520" t="s">
        <v>172</v>
      </c>
      <c r="BJ520" t="s">
        <v>173</v>
      </c>
      <c r="BK520" t="str">
        <f>"P.O BOX 5054 CHRB"</f>
        <v>P.O BOX 5054 CHRB</v>
      </c>
      <c r="BL520" t="str">
        <f>"MONSIGNOR GUERRERO ROAD CHALAN KIYA "</f>
        <v xml:space="preserve">MONSIGNOR GUERRERO ROAD CHALAN KIYA </v>
      </c>
      <c r="BM520" t="str">
        <f>"SAIPAN "</f>
        <v xml:space="preserve">SAIPAN </v>
      </c>
      <c r="BO520" t="s">
        <v>83</v>
      </c>
      <c r="BP520" s="4" t="str">
        <f t="shared" si="282"/>
        <v>96950</v>
      </c>
      <c r="BQ520" t="s">
        <v>79</v>
      </c>
      <c r="BR520" t="str">
        <f>"49-9071.00"</f>
        <v>49-9071.00</v>
      </c>
      <c r="BS520" t="s">
        <v>146</v>
      </c>
      <c r="BT520" s="3">
        <v>9.19</v>
      </c>
      <c r="BU520" t="s">
        <v>80</v>
      </c>
      <c r="BV520" t="s">
        <v>90</v>
      </c>
      <c r="BW520" t="s">
        <v>92</v>
      </c>
      <c r="BZ520" s="1">
        <v>45107</v>
      </c>
    </row>
    <row r="521" spans="1:78" ht="15" customHeight="1" x14ac:dyDescent="0.25">
      <c r="A521" t="s">
        <v>174</v>
      </c>
      <c r="B521" t="s">
        <v>94</v>
      </c>
      <c r="C521" s="1">
        <v>44796</v>
      </c>
      <c r="D521" s="1">
        <v>44837</v>
      </c>
      <c r="H521" t="s">
        <v>78</v>
      </c>
      <c r="I521" t="str">
        <f>"ALVARADO "</f>
        <v xml:space="preserve">ALVARADO </v>
      </c>
      <c r="J521" t="str">
        <f>"ALFADEL "</f>
        <v xml:space="preserve">ALFADEL </v>
      </c>
      <c r="K521" t="str">
        <f>"ZULUETA "</f>
        <v xml:space="preserve">ZULUETA </v>
      </c>
      <c r="L521" t="str">
        <f>"VICE-PRESIDENT "</f>
        <v xml:space="preserve">VICE-PRESIDENT </v>
      </c>
      <c r="M521" t="str">
        <f>"P.O BOX 5054 CHRB "</f>
        <v xml:space="preserve">P.O BOX 5054 CHRB </v>
      </c>
      <c r="N521" t="str">
        <f>"MONSIGNOR GUERRERO ROAD CHALAN KIYA "</f>
        <v xml:space="preserve">MONSIGNOR GUERRERO ROAD CHALAN KIYA </v>
      </c>
      <c r="O521" t="str">
        <f>"SAIPAN "</f>
        <v xml:space="preserve">SAIPAN </v>
      </c>
      <c r="P521" t="str">
        <f t="shared" si="277"/>
        <v>MP</v>
      </c>
      <c r="Q521" s="4" t="str">
        <f t="shared" si="278"/>
        <v>96950</v>
      </c>
      <c r="R521" t="str">
        <f t="shared" si="279"/>
        <v>UNITED STATES OF AMERICA</v>
      </c>
      <c r="S521" t="str">
        <f>""</f>
        <v/>
      </c>
      <c r="T521" s="5" t="str">
        <f>"16702343870"</f>
        <v>16702343870</v>
      </c>
      <c r="U521" t="str">
        <f>""</f>
        <v/>
      </c>
      <c r="V521" s="5" t="str">
        <f>""</f>
        <v/>
      </c>
      <c r="W521" t="str">
        <f>"winzycorporation@gmail.com"</f>
        <v>winzycorporation@gmail.com</v>
      </c>
      <c r="X521" t="str">
        <f>"WINZY CORPORATION "</f>
        <v xml:space="preserve">WINZY CORPORATION </v>
      </c>
      <c r="Y521" t="str">
        <f>""</f>
        <v/>
      </c>
      <c r="Z521" t="str">
        <f>"P.O BOX 5054 CHRB "</f>
        <v xml:space="preserve">P.O BOX 5054 CHRB </v>
      </c>
      <c r="AA521" t="str">
        <f>"MONSIGNOR GUERRERO ROAD CHALAN KIYA"</f>
        <v>MONSIGNOR GUERRERO ROAD CHALAN KIYA</v>
      </c>
      <c r="AB521" t="str">
        <f>"SAIPAN "</f>
        <v xml:space="preserve">SAIPAN </v>
      </c>
      <c r="AC521" t="str">
        <f t="shared" si="280"/>
        <v>MP</v>
      </c>
      <c r="AD521" t="str">
        <f t="shared" si="281"/>
        <v>96950</v>
      </c>
      <c r="AE521" t="str">
        <f t="shared" si="283"/>
        <v>UNITED STATES OF AMERICA</v>
      </c>
      <c r="AF521" t="str">
        <f>""</f>
        <v/>
      </c>
      <c r="AG521" s="4" t="str">
        <f>"16702343870"</f>
        <v>16702343870</v>
      </c>
      <c r="AH521" t="str">
        <f>""</f>
        <v/>
      </c>
      <c r="AI521" t="str">
        <f>"238990"</f>
        <v>238990</v>
      </c>
      <c r="AJ521" t="s">
        <v>79</v>
      </c>
      <c r="AK521" t="s">
        <v>79</v>
      </c>
      <c r="AL521" t="s">
        <v>80</v>
      </c>
      <c r="AM521" t="s">
        <v>79</v>
      </c>
      <c r="AP521" t="str">
        <f>"Heating, Air Conditioning, and Refrigeration Mechanics and I"</f>
        <v>Heating, Air Conditioning, and Refrigeration Mechanics and I</v>
      </c>
      <c r="AQ521" t="str">
        <f>"49-9021.00"</f>
        <v>49-9021.00</v>
      </c>
      <c r="AR521" t="str">
        <f>"Heating, Air Conditioning, and Refrigeration Mechanics and Installers"</f>
        <v>Heating, Air Conditioning, and Refrigeration Mechanics and Installers</v>
      </c>
      <c r="AS521" t="str">
        <f>"GENERAL MANAGER "</f>
        <v xml:space="preserve">GENERAL MANAGER </v>
      </c>
      <c r="AT521" t="s">
        <v>79</v>
      </c>
      <c r="AU521" t="str">
        <f>""</f>
        <v/>
      </c>
      <c r="AV521" t="str">
        <f>""</f>
        <v/>
      </c>
      <c r="AW521" t="s">
        <v>79</v>
      </c>
      <c r="AX521" t="str">
        <f>""</f>
        <v/>
      </c>
      <c r="AY521" t="s">
        <v>84</v>
      </c>
      <c r="BA521" t="s">
        <v>80</v>
      </c>
      <c r="BB521" t="s">
        <v>79</v>
      </c>
      <c r="BD521" t="s">
        <v>79</v>
      </c>
      <c r="BG521" t="s">
        <v>82</v>
      </c>
      <c r="BH521">
        <v>12</v>
      </c>
      <c r="BI521" t="s">
        <v>175</v>
      </c>
      <c r="BJ521" t="s">
        <v>176</v>
      </c>
      <c r="BK521" t="str">
        <f>"P.O BOX 5054 CHRB "</f>
        <v xml:space="preserve">P.O BOX 5054 CHRB </v>
      </c>
      <c r="BL521" t="str">
        <f>"MONSIGNOR GUERRERO ROAD CHALAN KIYA "</f>
        <v xml:space="preserve">MONSIGNOR GUERRERO ROAD CHALAN KIYA </v>
      </c>
      <c r="BM521" t="str">
        <f>"SAIPAN "</f>
        <v xml:space="preserve">SAIPAN </v>
      </c>
      <c r="BO521" t="s">
        <v>83</v>
      </c>
      <c r="BP521" s="4" t="str">
        <f t="shared" si="282"/>
        <v>96950</v>
      </c>
      <c r="BQ521" t="s">
        <v>79</v>
      </c>
      <c r="BR521" t="str">
        <f>"49-9021.00"</f>
        <v>49-9021.00</v>
      </c>
      <c r="BS521" t="s">
        <v>177</v>
      </c>
      <c r="BT521" s="3">
        <v>9.6999999999999993</v>
      </c>
      <c r="BU521" t="s">
        <v>80</v>
      </c>
      <c r="BV521" t="s">
        <v>90</v>
      </c>
      <c r="BW521" t="s">
        <v>92</v>
      </c>
      <c r="BZ521" s="1">
        <v>45107</v>
      </c>
    </row>
    <row r="522" spans="1:78" ht="15" customHeight="1" x14ac:dyDescent="0.25">
      <c r="A522" t="s">
        <v>178</v>
      </c>
      <c r="B522" t="s">
        <v>94</v>
      </c>
      <c r="C522" s="1">
        <v>44796</v>
      </c>
      <c r="D522" s="1">
        <v>44837</v>
      </c>
      <c r="H522" t="s">
        <v>78</v>
      </c>
      <c r="I522" t="str">
        <f>"ALVARADO "</f>
        <v xml:space="preserve">ALVARADO </v>
      </c>
      <c r="J522" t="str">
        <f>"ALFADEL "</f>
        <v xml:space="preserve">ALFADEL </v>
      </c>
      <c r="K522" t="str">
        <f>"ZULUETA "</f>
        <v xml:space="preserve">ZULUETA </v>
      </c>
      <c r="L522" t="str">
        <f>"VICE-PRESIDENT "</f>
        <v xml:space="preserve">VICE-PRESIDENT </v>
      </c>
      <c r="M522" t="str">
        <f>"P.O BOX 5054 CHRB "</f>
        <v xml:space="preserve">P.O BOX 5054 CHRB </v>
      </c>
      <c r="N522" t="str">
        <f>"MONSIGNOR GUERRERO ROAD CHALAN KIYA "</f>
        <v xml:space="preserve">MONSIGNOR GUERRERO ROAD CHALAN KIYA </v>
      </c>
      <c r="O522" t="str">
        <f>"SAIPAN "</f>
        <v xml:space="preserve">SAIPAN </v>
      </c>
      <c r="P522" t="str">
        <f t="shared" si="277"/>
        <v>MP</v>
      </c>
      <c r="Q522" s="4" t="str">
        <f t="shared" si="278"/>
        <v>96950</v>
      </c>
      <c r="R522" t="str">
        <f t="shared" si="279"/>
        <v>UNITED STATES OF AMERICA</v>
      </c>
      <c r="S522" t="str">
        <f>""</f>
        <v/>
      </c>
      <c r="T522" s="5" t="str">
        <f>"16702343870"</f>
        <v>16702343870</v>
      </c>
      <c r="U522" t="str">
        <f>""</f>
        <v/>
      </c>
      <c r="V522" s="5" t="str">
        <f>""</f>
        <v/>
      </c>
      <c r="W522" t="str">
        <f>"winzycorporation@gmail.com"</f>
        <v>winzycorporation@gmail.com</v>
      </c>
      <c r="X522" t="str">
        <f>"WINZY CORPORATION "</f>
        <v xml:space="preserve">WINZY CORPORATION </v>
      </c>
      <c r="Y522" t="str">
        <f>""</f>
        <v/>
      </c>
      <c r="Z522" t="str">
        <f>"P.O BOX 5054 CHRB "</f>
        <v xml:space="preserve">P.O BOX 5054 CHRB </v>
      </c>
      <c r="AA522" t="str">
        <f>"MONSIGNOR GUERRERO ROAD CHALAN KIYA "</f>
        <v xml:space="preserve">MONSIGNOR GUERRERO ROAD CHALAN KIYA </v>
      </c>
      <c r="AB522" t="str">
        <f>"SAIPAN "</f>
        <v xml:space="preserve">SAIPAN </v>
      </c>
      <c r="AC522" t="str">
        <f t="shared" si="280"/>
        <v>MP</v>
      </c>
      <c r="AD522" t="str">
        <f t="shared" si="281"/>
        <v>96950</v>
      </c>
      <c r="AE522" t="str">
        <f t="shared" si="283"/>
        <v>UNITED STATES OF AMERICA</v>
      </c>
      <c r="AF522" t="str">
        <f>""</f>
        <v/>
      </c>
      <c r="AG522" s="4" t="str">
        <f>"16702343870"</f>
        <v>16702343870</v>
      </c>
      <c r="AH522" t="str">
        <f>""</f>
        <v/>
      </c>
      <c r="AI522" t="str">
        <f>"238990"</f>
        <v>238990</v>
      </c>
      <c r="AJ522" t="s">
        <v>79</v>
      </c>
      <c r="AK522" t="s">
        <v>79</v>
      </c>
      <c r="AL522" t="s">
        <v>80</v>
      </c>
      <c r="AM522" t="s">
        <v>79</v>
      </c>
      <c r="AP522" t="str">
        <f>"ELECTRICIAN"</f>
        <v>ELECTRICIAN</v>
      </c>
      <c r="AQ522" t="str">
        <f>"47-2111.00"</f>
        <v>47-2111.00</v>
      </c>
      <c r="AR522" t="str">
        <f>"Electricians"</f>
        <v>Electricians</v>
      </c>
      <c r="AS522" t="str">
        <f>"GENERAL MANAGER "</f>
        <v xml:space="preserve">GENERAL MANAGER </v>
      </c>
      <c r="AT522" t="s">
        <v>79</v>
      </c>
      <c r="AU522" t="str">
        <f>""</f>
        <v/>
      </c>
      <c r="AV522" t="str">
        <f>""</f>
        <v/>
      </c>
      <c r="AW522" t="s">
        <v>79</v>
      </c>
      <c r="AX522" t="str">
        <f>""</f>
        <v/>
      </c>
      <c r="AY522" t="s">
        <v>84</v>
      </c>
      <c r="BA522" t="s">
        <v>119</v>
      </c>
      <c r="BB522" t="s">
        <v>79</v>
      </c>
      <c r="BD522" t="s">
        <v>79</v>
      </c>
      <c r="BG522" t="s">
        <v>82</v>
      </c>
      <c r="BH522">
        <v>12</v>
      </c>
      <c r="BI522" t="s">
        <v>179</v>
      </c>
      <c r="BJ522" t="s">
        <v>180</v>
      </c>
      <c r="BK522" t="str">
        <f>"P.O BOX 5054 CHRB "</f>
        <v xml:space="preserve">P.O BOX 5054 CHRB </v>
      </c>
      <c r="BL522" t="str">
        <f>"MONSIGNOR GUERRERO ROAD CHALAN KIYA "</f>
        <v xml:space="preserve">MONSIGNOR GUERRERO ROAD CHALAN KIYA </v>
      </c>
      <c r="BM522" t="str">
        <f>"SAIPAN "</f>
        <v xml:space="preserve">SAIPAN </v>
      </c>
      <c r="BO522" t="s">
        <v>83</v>
      </c>
      <c r="BP522" s="4" t="str">
        <f t="shared" si="282"/>
        <v>96950</v>
      </c>
      <c r="BQ522" t="s">
        <v>79</v>
      </c>
      <c r="BR522" t="str">
        <f>"47-2111.00"</f>
        <v>47-2111.00</v>
      </c>
      <c r="BS522" t="s">
        <v>181</v>
      </c>
      <c r="BT522" s="3">
        <v>11.67</v>
      </c>
      <c r="BU522" t="s">
        <v>80</v>
      </c>
      <c r="BV522" t="s">
        <v>90</v>
      </c>
      <c r="BW522" t="s">
        <v>92</v>
      </c>
      <c r="BZ522" s="1">
        <v>45107</v>
      </c>
    </row>
    <row r="523" spans="1:78" ht="15" customHeight="1" x14ac:dyDescent="0.25">
      <c r="A523" t="s">
        <v>182</v>
      </c>
      <c r="B523" t="s">
        <v>94</v>
      </c>
      <c r="C523" s="1">
        <v>44796</v>
      </c>
      <c r="D523" s="1">
        <v>44837</v>
      </c>
      <c r="H523" t="s">
        <v>78</v>
      </c>
      <c r="I523" t="str">
        <f>"Ta"</f>
        <v>Ta</v>
      </c>
      <c r="J523" t="str">
        <f>"Kuy"</f>
        <v>Kuy</v>
      </c>
      <c r="K523" t="str">
        <f>"Bun"</f>
        <v>Bun</v>
      </c>
      <c r="L523" t="str">
        <f>"President"</f>
        <v>President</v>
      </c>
      <c r="M523" t="str">
        <f>"PO Box 501328"</f>
        <v>PO Box 501328</v>
      </c>
      <c r="N523" t="str">
        <f>"BEACH ROAD, GARARPAN"</f>
        <v>BEACH ROAD, GARARPAN</v>
      </c>
      <c r="O523" t="str">
        <f>"saipan"</f>
        <v>saipan</v>
      </c>
      <c r="P523" t="str">
        <f>"NH"</f>
        <v>NH</v>
      </c>
      <c r="Q523" s="4" t="str">
        <f t="shared" si="278"/>
        <v>96950</v>
      </c>
      <c r="R523" t="str">
        <f t="shared" si="279"/>
        <v>UNITED STATES OF AMERICA</v>
      </c>
      <c r="S523" t="str">
        <f>""</f>
        <v/>
      </c>
      <c r="T523" s="5" t="str">
        <f>"16702332288"</f>
        <v>16702332288</v>
      </c>
      <c r="U523" t="str">
        <f>""</f>
        <v/>
      </c>
      <c r="V523" s="5" t="str">
        <f>""</f>
        <v/>
      </c>
      <c r="W523" t="str">
        <f>"micprt@gmail.com"</f>
        <v>micprt@gmail.com</v>
      </c>
      <c r="X523" t="str">
        <f>"Keebentton International, Inc."</f>
        <v>Keebentton International, Inc.</v>
      </c>
      <c r="Y523" t="str">
        <f>"Serenity Salon &amp; Spa"</f>
        <v>Serenity Salon &amp; Spa</v>
      </c>
      <c r="Z523" t="str">
        <f>"P.O. BOX 501328"</f>
        <v>P.O. BOX 501328</v>
      </c>
      <c r="AA523" t="str">
        <f>"Beach Road, Garapan"</f>
        <v>Beach Road, Garapan</v>
      </c>
      <c r="AB523" t="str">
        <f>"SAIPAN"</f>
        <v>SAIPAN</v>
      </c>
      <c r="AC523" t="str">
        <f t="shared" si="280"/>
        <v>MP</v>
      </c>
      <c r="AD523" t="str">
        <f t="shared" si="281"/>
        <v>96950</v>
      </c>
      <c r="AE523" t="str">
        <f t="shared" si="283"/>
        <v>UNITED STATES OF AMERICA</v>
      </c>
      <c r="AF523" t="str">
        <f>""</f>
        <v/>
      </c>
      <c r="AG523" s="4" t="str">
        <f>"16702332288"</f>
        <v>16702332288</v>
      </c>
      <c r="AH523" t="str">
        <f>""</f>
        <v/>
      </c>
      <c r="AI523" t="str">
        <f>"812112"</f>
        <v>812112</v>
      </c>
      <c r="AJ523" t="s">
        <v>79</v>
      </c>
      <c r="AK523" t="s">
        <v>79</v>
      </c>
      <c r="AL523" t="s">
        <v>80</v>
      </c>
      <c r="AM523" t="s">
        <v>79</v>
      </c>
      <c r="AP523" t="str">
        <f>"Cosmetologist"</f>
        <v>Cosmetologist</v>
      </c>
      <c r="AQ523" t="str">
        <f>"39-5012.00"</f>
        <v>39-5012.00</v>
      </c>
      <c r="AR523" t="str">
        <f>"Hairdressers, Hairstylists, and Cosmetologists"</f>
        <v>Hairdressers, Hairstylists, and Cosmetologists</v>
      </c>
      <c r="AS523" t="str">
        <f>"President"</f>
        <v>President</v>
      </c>
      <c r="AT523" t="s">
        <v>79</v>
      </c>
      <c r="AU523" t="str">
        <f>""</f>
        <v/>
      </c>
      <c r="AV523" t="str">
        <f>""</f>
        <v/>
      </c>
      <c r="AW523" t="s">
        <v>79</v>
      </c>
      <c r="AX523" t="str">
        <f>""</f>
        <v/>
      </c>
      <c r="AY523" t="s">
        <v>84</v>
      </c>
      <c r="BA523" t="s">
        <v>161</v>
      </c>
      <c r="BB523" t="s">
        <v>79</v>
      </c>
      <c r="BD523" t="s">
        <v>79</v>
      </c>
      <c r="BG523" t="s">
        <v>82</v>
      </c>
      <c r="BH523">
        <v>12</v>
      </c>
      <c r="BI523" t="s">
        <v>183</v>
      </c>
      <c r="BJ523" t="s">
        <v>161</v>
      </c>
      <c r="BK523" t="str">
        <f>"BEACH ROAD, GARAPAN, 2nd FLR OF DOLLAR DAYS WHOLESALE"</f>
        <v>BEACH ROAD, GARAPAN, 2nd FLR OF DOLLAR DAYS WHOLESALE</v>
      </c>
      <c r="BL523" t="str">
        <f>"PO Box 501328"</f>
        <v>PO Box 501328</v>
      </c>
      <c r="BM523" t="str">
        <f>"saipan"</f>
        <v>saipan</v>
      </c>
      <c r="BO523" t="s">
        <v>83</v>
      </c>
      <c r="BP523" s="4" t="str">
        <f t="shared" si="282"/>
        <v>96950</v>
      </c>
      <c r="BQ523" t="s">
        <v>79</v>
      </c>
      <c r="BR523" t="str">
        <f>"39-5012.00"</f>
        <v>39-5012.00</v>
      </c>
      <c r="BS523" t="s">
        <v>184</v>
      </c>
      <c r="BT523" s="3">
        <v>7.88</v>
      </c>
      <c r="BU523" t="s">
        <v>80</v>
      </c>
      <c r="BV523" t="s">
        <v>90</v>
      </c>
      <c r="BW523" t="s">
        <v>92</v>
      </c>
      <c r="BZ523" s="1">
        <v>45107</v>
      </c>
    </row>
    <row r="524" spans="1:78" ht="15" customHeight="1" x14ac:dyDescent="0.25">
      <c r="A524" t="s">
        <v>153</v>
      </c>
      <c r="B524" t="s">
        <v>94</v>
      </c>
      <c r="C524" s="1">
        <v>44795</v>
      </c>
      <c r="D524" s="1">
        <v>44837</v>
      </c>
      <c r="H524" t="s">
        <v>78</v>
      </c>
      <c r="I524" t="str">
        <f>"MAILMAN"</f>
        <v>MAILMAN</v>
      </c>
      <c r="J524" t="str">
        <f>"BRUCE"</f>
        <v>BRUCE</v>
      </c>
      <c r="K524" t="str">
        <f>"LEE"</f>
        <v>LEE</v>
      </c>
      <c r="L524" t="str">
        <f>"ATTORNEY"</f>
        <v>ATTORNEY</v>
      </c>
      <c r="M524" t="str">
        <f>"2nd FLOOR SASHA BLDG., BEACH ROAD"</f>
        <v>2nd FLOOR SASHA BLDG., BEACH ROAD</v>
      </c>
      <c r="N524" t="str">
        <f>"PMB 238 BOX 10000"</f>
        <v>PMB 238 BOX 10000</v>
      </c>
      <c r="O524" t="str">
        <f>"SAIPAN"</f>
        <v>SAIPAN</v>
      </c>
      <c r="P524" t="str">
        <f t="shared" ref="P524:P531" si="284">"MP"</f>
        <v>MP</v>
      </c>
      <c r="Q524" s="4" t="str">
        <f t="shared" si="278"/>
        <v>96950</v>
      </c>
      <c r="R524" t="str">
        <f t="shared" si="279"/>
        <v>UNITED STATES OF AMERICA</v>
      </c>
      <c r="S524" t="str">
        <f>""</f>
        <v/>
      </c>
      <c r="T524" s="5" t="str">
        <f>"16702330081"</f>
        <v>16702330081</v>
      </c>
      <c r="U524" t="str">
        <f>""</f>
        <v/>
      </c>
      <c r="V524" s="5" t="str">
        <f>""</f>
        <v/>
      </c>
      <c r="W524" t="str">
        <f>"bmailman@lexmarianas.com"</f>
        <v>bmailman@lexmarianas.com</v>
      </c>
      <c r="X524" t="str">
        <f>"TELESOURCE CNMI, INC."</f>
        <v>TELESOURCE CNMI, INC.</v>
      </c>
      <c r="Y524" t="str">
        <f>"N/A"</f>
        <v>N/A</v>
      </c>
      <c r="Z524" t="str">
        <f>"SAN JOSE VILLAGE"</f>
        <v>SAN JOSE VILLAGE</v>
      </c>
      <c r="AA524" t="str">
        <f>"P.O. BOX 520464"</f>
        <v>P.O. BOX 520464</v>
      </c>
      <c r="AB524" t="str">
        <f>"TINIAN"</f>
        <v>TINIAN</v>
      </c>
      <c r="AC524" t="str">
        <f t="shared" si="280"/>
        <v>MP</v>
      </c>
      <c r="AD524" t="str">
        <f>"96952"</f>
        <v>96952</v>
      </c>
      <c r="AE524" t="str">
        <f t="shared" si="283"/>
        <v>UNITED STATES OF AMERICA</v>
      </c>
      <c r="AF524" t="str">
        <f>""</f>
        <v/>
      </c>
      <c r="AG524" s="4" t="str">
        <f>"16704334501"</f>
        <v>16704334501</v>
      </c>
      <c r="AH524" t="str">
        <f>""</f>
        <v/>
      </c>
      <c r="AI524" t="str">
        <f>"221112"</f>
        <v>221112</v>
      </c>
      <c r="AJ524" t="s">
        <v>79</v>
      </c>
      <c r="AK524" t="s">
        <v>79</v>
      </c>
      <c r="AL524" t="s">
        <v>80</v>
      </c>
      <c r="AM524" t="s">
        <v>79</v>
      </c>
      <c r="AP524" t="str">
        <f>"MAINTENANCE AND REPAIR WORKERS, GENERAL"</f>
        <v>MAINTENANCE AND REPAIR WORKERS, GENERAL</v>
      </c>
      <c r="AQ524" t="str">
        <f>"49-9071.00"</f>
        <v>49-9071.00</v>
      </c>
      <c r="AR524" t="str">
        <f>"Maintenance and Repair Workers, General"</f>
        <v>Maintenance and Repair Workers, General</v>
      </c>
      <c r="AS524" t="str">
        <f>"POWER PLANT MANAGER"</f>
        <v>POWER PLANT MANAGER</v>
      </c>
      <c r="AT524" t="s">
        <v>79</v>
      </c>
      <c r="AU524" t="str">
        <f>""</f>
        <v/>
      </c>
      <c r="AV524" t="str">
        <f>""</f>
        <v/>
      </c>
      <c r="AW524" t="s">
        <v>79</v>
      </c>
      <c r="AX524" t="str">
        <f>""</f>
        <v/>
      </c>
      <c r="AY524" t="s">
        <v>84</v>
      </c>
      <c r="BA524" t="s">
        <v>80</v>
      </c>
      <c r="BB524" t="s">
        <v>79</v>
      </c>
      <c r="BD524" t="s">
        <v>79</v>
      </c>
      <c r="BG524" t="s">
        <v>82</v>
      </c>
      <c r="BH524">
        <v>48</v>
      </c>
      <c r="BI524" t="s">
        <v>154</v>
      </c>
      <c r="BJ524" t="s">
        <v>155</v>
      </c>
      <c r="BK524" t="str">
        <f>"TINIAN CUC POWER PLANT, SAN JOSE VILLAGE"</f>
        <v>TINIAN CUC POWER PLANT, SAN JOSE VILLAGE</v>
      </c>
      <c r="BL524" t="str">
        <f>"P.O. BOX 520464"</f>
        <v>P.O. BOX 520464</v>
      </c>
      <c r="BM524" t="str">
        <f>"TINIAN"</f>
        <v>TINIAN</v>
      </c>
      <c r="BO524" t="s">
        <v>83</v>
      </c>
      <c r="BP524" s="4" t="str">
        <f>"96952"</f>
        <v>96952</v>
      </c>
      <c r="BQ524" t="s">
        <v>79</v>
      </c>
      <c r="BR524" t="str">
        <f>"49-9071.00"</f>
        <v>49-9071.00</v>
      </c>
      <c r="BS524" t="s">
        <v>146</v>
      </c>
      <c r="BT524" s="3">
        <v>9.19</v>
      </c>
      <c r="BU524" t="s">
        <v>80</v>
      </c>
      <c r="BV524" t="s">
        <v>90</v>
      </c>
      <c r="BW524" t="s">
        <v>92</v>
      </c>
      <c r="BZ524" s="1">
        <v>45107</v>
      </c>
    </row>
    <row r="525" spans="1:78" ht="15" customHeight="1" x14ac:dyDescent="0.25">
      <c r="A525" t="s">
        <v>156</v>
      </c>
      <c r="B525" t="s">
        <v>94</v>
      </c>
      <c r="C525" s="1">
        <v>44795</v>
      </c>
      <c r="D525" s="1">
        <v>44837</v>
      </c>
      <c r="H525" t="s">
        <v>78</v>
      </c>
      <c r="I525" t="str">
        <f>"IKEDA"</f>
        <v>IKEDA</v>
      </c>
      <c r="J525" t="str">
        <f>"MAMI"</f>
        <v>MAMI</v>
      </c>
      <c r="K525" t="str">
        <f>""</f>
        <v/>
      </c>
      <c r="L525" t="str">
        <f>"AGENT"</f>
        <v>AGENT</v>
      </c>
      <c r="M525" t="str">
        <f>"ROUTE 38 (NAVY HILL ROAD)"</f>
        <v>ROUTE 38 (NAVY HILL ROAD)</v>
      </c>
      <c r="N525" t="str">
        <f>"PO BOX 500047, SAIPAN"</f>
        <v>PO BOX 500047, SAIPAN</v>
      </c>
      <c r="O525" t="str">
        <f>"NAVY HILL"</f>
        <v>NAVY HILL</v>
      </c>
      <c r="P525" t="str">
        <f t="shared" si="284"/>
        <v>MP</v>
      </c>
      <c r="Q525" s="4" t="str">
        <f t="shared" si="278"/>
        <v>96950</v>
      </c>
      <c r="R525" t="str">
        <f t="shared" si="279"/>
        <v>UNITED STATES OF AMERICA</v>
      </c>
      <c r="S525" t="str">
        <f>""</f>
        <v/>
      </c>
      <c r="T525" s="5" t="str">
        <f>"16702857505"</f>
        <v>16702857505</v>
      </c>
      <c r="U525" t="str">
        <f>""</f>
        <v/>
      </c>
      <c r="V525" s="5" t="str">
        <f>""</f>
        <v/>
      </c>
      <c r="W525" t="str">
        <f>"mami96950@gmail.com"</f>
        <v>mami96950@gmail.com</v>
      </c>
      <c r="X525" t="str">
        <f>"ADVANCE MARINE SAIPAN CORPORATION"</f>
        <v>ADVANCE MARINE SAIPAN CORPORATION</v>
      </c>
      <c r="Y525" t="str">
        <f>"ADVANCE MARINE SAIPAN CORPORATION"</f>
        <v>ADVANCE MARINE SAIPAN CORPORATION</v>
      </c>
      <c r="Z525" t="str">
        <f>"LOWER BASE DRIVE"</f>
        <v>LOWER BASE DRIVE</v>
      </c>
      <c r="AA525" t="str">
        <f>"PMB 6 P.O. BOX 10003, SAIPAN"</f>
        <v>PMB 6 P.O. BOX 10003, SAIPAN</v>
      </c>
      <c r="AB525" t="str">
        <f>"LOWER BASE"</f>
        <v>LOWER BASE</v>
      </c>
      <c r="AC525" t="str">
        <f t="shared" si="280"/>
        <v>MP</v>
      </c>
      <c r="AD525" t="str">
        <f t="shared" ref="AD525:AD531" si="285">"96950"</f>
        <v>96950</v>
      </c>
      <c r="AE525" t="str">
        <f t="shared" si="283"/>
        <v>UNITED STATES OF AMERICA</v>
      </c>
      <c r="AF525" t="str">
        <f>""</f>
        <v/>
      </c>
      <c r="AG525" s="4" t="str">
        <f>"16703234987"</f>
        <v>16703234987</v>
      </c>
      <c r="AH525" t="str">
        <f>""</f>
        <v/>
      </c>
      <c r="AI525" t="str">
        <f>"713930"</f>
        <v>713930</v>
      </c>
      <c r="AJ525" t="s">
        <v>79</v>
      </c>
      <c r="AK525" t="s">
        <v>79</v>
      </c>
      <c r="AL525" t="s">
        <v>80</v>
      </c>
      <c r="AM525" t="s">
        <v>79</v>
      </c>
      <c r="AP525" t="str">
        <f>"Marine Engine Mechanic"</f>
        <v>Marine Engine Mechanic</v>
      </c>
      <c r="AQ525" t="str">
        <f>"49-3051.00"</f>
        <v>49-3051.00</v>
      </c>
      <c r="AR525" t="str">
        <f>"Motorboat Mechanics and Service Technicians"</f>
        <v>Motorboat Mechanics and Service Technicians</v>
      </c>
      <c r="AS525" t="str">
        <f>"President"</f>
        <v>President</v>
      </c>
      <c r="AT525" t="s">
        <v>79</v>
      </c>
      <c r="AU525" t="str">
        <f>""</f>
        <v/>
      </c>
      <c r="AV525" t="str">
        <f>""</f>
        <v/>
      </c>
      <c r="AW525" t="s">
        <v>82</v>
      </c>
      <c r="AX525" t="str">
        <f>"May travel to hardware stores on island to purchase parts needed for the duty."</f>
        <v>May travel to hardware stores on island to purchase parts needed for the duty.</v>
      </c>
      <c r="AY525" t="s">
        <v>84</v>
      </c>
      <c r="BA525" t="s">
        <v>80</v>
      </c>
      <c r="BB525" t="s">
        <v>79</v>
      </c>
      <c r="BD525" t="s">
        <v>82</v>
      </c>
      <c r="BE525">
        <v>6</v>
      </c>
      <c r="BF525" t="s">
        <v>157</v>
      </c>
      <c r="BG525" t="s">
        <v>82</v>
      </c>
      <c r="BH525">
        <v>12</v>
      </c>
      <c r="BI525" t="s">
        <v>157</v>
      </c>
      <c r="BJ525" t="s">
        <v>158</v>
      </c>
      <c r="BK525" t="str">
        <f>"LOWER BASE DRIVE"</f>
        <v>LOWER BASE DRIVE</v>
      </c>
      <c r="BL525" t="str">
        <f>"PMB 6 P.O. BOX 10003, SAIPAN"</f>
        <v>PMB 6 P.O. BOX 10003, SAIPAN</v>
      </c>
      <c r="BM525" t="str">
        <f>"LOWER BASE"</f>
        <v>LOWER BASE</v>
      </c>
      <c r="BO525" t="s">
        <v>83</v>
      </c>
      <c r="BP525" s="4" t="str">
        <f t="shared" ref="BP525:BP531" si="286">"96950"</f>
        <v>96950</v>
      </c>
      <c r="BQ525" t="s">
        <v>79</v>
      </c>
      <c r="BR525" t="str">
        <f>"49-3051.00"</f>
        <v>49-3051.00</v>
      </c>
      <c r="BS525" t="s">
        <v>159</v>
      </c>
      <c r="BT525" s="3">
        <v>11.07</v>
      </c>
      <c r="BU525" t="s">
        <v>80</v>
      </c>
      <c r="BV525" t="s">
        <v>90</v>
      </c>
      <c r="BW525" t="s">
        <v>92</v>
      </c>
      <c r="BZ525" s="1">
        <v>45107</v>
      </c>
    </row>
    <row r="526" spans="1:78" ht="15" customHeight="1" x14ac:dyDescent="0.25">
      <c r="A526" t="s">
        <v>160</v>
      </c>
      <c r="B526" t="s">
        <v>94</v>
      </c>
      <c r="C526" s="1">
        <v>44795</v>
      </c>
      <c r="D526" s="1">
        <v>44837</v>
      </c>
      <c r="H526" t="s">
        <v>78</v>
      </c>
      <c r="I526" t="str">
        <f>"Aguirre"</f>
        <v>Aguirre</v>
      </c>
      <c r="J526" t="str">
        <f>"Edieson Louie"</f>
        <v>Edieson Louie</v>
      </c>
      <c r="K526" t="str">
        <f>""</f>
        <v/>
      </c>
      <c r="L526" t="str">
        <f>"Proprietor"</f>
        <v>Proprietor</v>
      </c>
      <c r="M526" t="str">
        <f>"718 Koblerville Rd. Koblerville "</f>
        <v xml:space="preserve">718 Koblerville Rd. Koblerville </v>
      </c>
      <c r="N526" t="str">
        <f>""</f>
        <v/>
      </c>
      <c r="O526" t="str">
        <f>"Saipan"</f>
        <v>Saipan</v>
      </c>
      <c r="P526" t="str">
        <f t="shared" si="284"/>
        <v>MP</v>
      </c>
      <c r="Q526" s="4" t="str">
        <f t="shared" si="278"/>
        <v>96950</v>
      </c>
      <c r="R526" t="str">
        <f t="shared" si="279"/>
        <v>UNITED STATES OF AMERICA</v>
      </c>
      <c r="S526" t="str">
        <f>""</f>
        <v/>
      </c>
      <c r="T526" s="5" t="str">
        <f>"16707892777"</f>
        <v>16707892777</v>
      </c>
      <c r="U526" t="str">
        <f>""</f>
        <v/>
      </c>
      <c r="V526" s="5" t="str">
        <f>""</f>
        <v/>
      </c>
      <c r="W526" t="str">
        <f>"seven.esbbq@gmail.com"</f>
        <v>seven.esbbq@gmail.com</v>
      </c>
      <c r="X526" t="str">
        <f>"Seven E's"</f>
        <v>Seven E's</v>
      </c>
      <c r="Y526" t="str">
        <f>""</f>
        <v/>
      </c>
      <c r="Z526" t="str">
        <f>"718 Koblerville Road, Koblerville"</f>
        <v>718 Koblerville Road, Koblerville</v>
      </c>
      <c r="AA526" t="str">
        <f>""</f>
        <v/>
      </c>
      <c r="AB526" t="str">
        <f>"Saipan"</f>
        <v>Saipan</v>
      </c>
      <c r="AC526" t="str">
        <f t="shared" si="280"/>
        <v>MP</v>
      </c>
      <c r="AD526" t="str">
        <f t="shared" si="285"/>
        <v>96950</v>
      </c>
      <c r="AE526" t="str">
        <f t="shared" si="283"/>
        <v>UNITED STATES OF AMERICA</v>
      </c>
      <c r="AF526" t="str">
        <f>""</f>
        <v/>
      </c>
      <c r="AG526" s="4" t="str">
        <f>"16707892777"</f>
        <v>16707892777</v>
      </c>
      <c r="AH526" t="str">
        <f>""</f>
        <v/>
      </c>
      <c r="AI526" t="str">
        <f>"722330"</f>
        <v>722330</v>
      </c>
      <c r="AJ526" t="s">
        <v>79</v>
      </c>
      <c r="AK526" t="s">
        <v>79</v>
      </c>
      <c r="AL526" t="s">
        <v>80</v>
      </c>
      <c r="AM526" t="s">
        <v>79</v>
      </c>
      <c r="AP526" t="str">
        <f>"Food Preparation Workers"</f>
        <v>Food Preparation Workers</v>
      </c>
      <c r="AQ526" t="str">
        <f>"35-2021.00"</f>
        <v>35-2021.00</v>
      </c>
      <c r="AR526" t="str">
        <f>"Food Preparation Workers"</f>
        <v>Food Preparation Workers</v>
      </c>
      <c r="AS526" t="str">
        <f>""</f>
        <v/>
      </c>
      <c r="AT526" t="s">
        <v>79</v>
      </c>
      <c r="AU526" t="str">
        <f>""</f>
        <v/>
      </c>
      <c r="AV526" t="str">
        <f>""</f>
        <v/>
      </c>
      <c r="AW526" t="s">
        <v>79</v>
      </c>
      <c r="AX526" t="str">
        <f>""</f>
        <v/>
      </c>
      <c r="AY526" t="s">
        <v>84</v>
      </c>
      <c r="BA526" t="s">
        <v>161</v>
      </c>
      <c r="BB526" t="s">
        <v>79</v>
      </c>
      <c r="BD526" t="s">
        <v>79</v>
      </c>
      <c r="BG526" t="s">
        <v>82</v>
      </c>
      <c r="BH526">
        <v>6</v>
      </c>
      <c r="BI526" t="s">
        <v>162</v>
      </c>
      <c r="BJ526" s="2" t="s">
        <v>163</v>
      </c>
      <c r="BK526" t="str">
        <f>"718 Koblerville Rd. Koblerville"</f>
        <v>718 Koblerville Rd. Koblerville</v>
      </c>
      <c r="BL526" t="str">
        <f>""</f>
        <v/>
      </c>
      <c r="BM526" t="str">
        <f>"Saipan"</f>
        <v>Saipan</v>
      </c>
      <c r="BO526" t="s">
        <v>83</v>
      </c>
      <c r="BP526" s="4" t="str">
        <f t="shared" si="286"/>
        <v>96950</v>
      </c>
      <c r="BQ526" t="s">
        <v>79</v>
      </c>
      <c r="BR526" t="str">
        <f>"35-2021.00"</f>
        <v>35-2021.00</v>
      </c>
      <c r="BS526" t="s">
        <v>162</v>
      </c>
      <c r="BT526" s="3">
        <v>7.87</v>
      </c>
      <c r="BU526" t="s">
        <v>80</v>
      </c>
      <c r="BV526" t="s">
        <v>90</v>
      </c>
      <c r="BW526" t="s">
        <v>92</v>
      </c>
      <c r="BZ526" s="1">
        <v>45107</v>
      </c>
    </row>
    <row r="527" spans="1:78" ht="15" customHeight="1" x14ac:dyDescent="0.25">
      <c r="A527" t="s">
        <v>164</v>
      </c>
      <c r="B527" t="s">
        <v>94</v>
      </c>
      <c r="C527" s="1">
        <v>44795</v>
      </c>
      <c r="D527" s="1">
        <v>44837</v>
      </c>
      <c r="H527" t="s">
        <v>78</v>
      </c>
      <c r="I527" t="str">
        <f>"KIM"</f>
        <v>KIM</v>
      </c>
      <c r="J527" t="str">
        <f>"DOYI"</f>
        <v>DOYI</v>
      </c>
      <c r="K527" t="str">
        <f>""</f>
        <v/>
      </c>
      <c r="L527" t="str">
        <f>"GENERAL MANAGER"</f>
        <v>GENERAL MANAGER</v>
      </c>
      <c r="M527" t="str">
        <f>"P.O. Box 506003"</f>
        <v>P.O. Box 506003</v>
      </c>
      <c r="N527" t="str">
        <f>""</f>
        <v/>
      </c>
      <c r="O527" t="str">
        <f>"Saipan"</f>
        <v>Saipan</v>
      </c>
      <c r="P527" t="str">
        <f t="shared" si="284"/>
        <v>MP</v>
      </c>
      <c r="Q527" s="4" t="str">
        <f t="shared" si="278"/>
        <v>96950</v>
      </c>
      <c r="R527" t="str">
        <f t="shared" si="279"/>
        <v>UNITED STATES OF AMERICA</v>
      </c>
      <c r="S527" t="str">
        <f>""</f>
        <v/>
      </c>
      <c r="T527" s="5" t="str">
        <f>"16702353313"</f>
        <v>16702353313</v>
      </c>
      <c r="U527" t="str">
        <f>""</f>
        <v/>
      </c>
      <c r="V527" s="5" t="str">
        <f>""</f>
        <v/>
      </c>
      <c r="W527" t="str">
        <f>"saipanwinners5@gmail.com"</f>
        <v>saipanwinners5@gmail.com</v>
      </c>
      <c r="X527" t="str">
        <f>"P&amp;A Corporation"</f>
        <v>P&amp;A Corporation</v>
      </c>
      <c r="Y527" t="str">
        <f>"Winners Residence, Winners Hardware, Winners Gas, et al"</f>
        <v>Winners Residence, Winners Hardware, Winners Gas, et al</v>
      </c>
      <c r="Z527" t="str">
        <f>"P.O. Box 506003"</f>
        <v>P.O. Box 506003</v>
      </c>
      <c r="AA527" t="str">
        <f>""</f>
        <v/>
      </c>
      <c r="AB527" t="str">
        <f>"Saipan"</f>
        <v>Saipan</v>
      </c>
      <c r="AC527" t="str">
        <f t="shared" si="280"/>
        <v>MP</v>
      </c>
      <c r="AD527" t="str">
        <f t="shared" si="285"/>
        <v>96950</v>
      </c>
      <c r="AE527" t="str">
        <f t="shared" si="283"/>
        <v>UNITED STATES OF AMERICA</v>
      </c>
      <c r="AF527" t="str">
        <f>""</f>
        <v/>
      </c>
      <c r="AG527" s="4" t="str">
        <f>"16702353313"</f>
        <v>16702353313</v>
      </c>
      <c r="AH527" t="str">
        <f>""</f>
        <v/>
      </c>
      <c r="AI527" t="str">
        <f>"44413"</f>
        <v>44413</v>
      </c>
      <c r="AJ527" t="s">
        <v>79</v>
      </c>
      <c r="AK527" t="s">
        <v>79</v>
      </c>
      <c r="AL527" t="s">
        <v>80</v>
      </c>
      <c r="AM527" t="s">
        <v>79</v>
      </c>
      <c r="AP527" t="str">
        <f>"Accounting Specialist"</f>
        <v>Accounting Specialist</v>
      </c>
      <c r="AQ527" t="str">
        <f>"43-3031.00"</f>
        <v>43-3031.00</v>
      </c>
      <c r="AR527" t="str">
        <f>"Bookkeeping, Accounting, and Auditing Clerks"</f>
        <v>Bookkeeping, Accounting, and Auditing Clerks</v>
      </c>
      <c r="AS527" t="str">
        <f>"General Manager"</f>
        <v>General Manager</v>
      </c>
      <c r="AT527" t="s">
        <v>79</v>
      </c>
      <c r="AU527" t="str">
        <f>""</f>
        <v/>
      </c>
      <c r="AV527" t="str">
        <f>""</f>
        <v/>
      </c>
      <c r="AW527" t="s">
        <v>79</v>
      </c>
      <c r="AX527" t="str">
        <f>""</f>
        <v/>
      </c>
      <c r="AY527" t="s">
        <v>124</v>
      </c>
      <c r="BA527" t="s">
        <v>130</v>
      </c>
      <c r="BB527" t="s">
        <v>79</v>
      </c>
      <c r="BD527" t="s">
        <v>79</v>
      </c>
      <c r="BG527" t="s">
        <v>82</v>
      </c>
      <c r="BH527">
        <v>12</v>
      </c>
      <c r="BI527" t="s">
        <v>165</v>
      </c>
      <c r="BJ527" t="s">
        <v>166</v>
      </c>
      <c r="BK527" t="str">
        <f>"Afetna Rd"</f>
        <v>Afetna Rd</v>
      </c>
      <c r="BL527" t="str">
        <f>""</f>
        <v/>
      </c>
      <c r="BM527" t="str">
        <f>"Saipan"</f>
        <v>Saipan</v>
      </c>
      <c r="BO527" t="s">
        <v>83</v>
      </c>
      <c r="BP527" s="4" t="str">
        <f t="shared" si="286"/>
        <v>96950</v>
      </c>
      <c r="BQ527" t="s">
        <v>79</v>
      </c>
      <c r="BR527" t="str">
        <f>"43-3031.00"</f>
        <v>43-3031.00</v>
      </c>
      <c r="BS527" t="s">
        <v>142</v>
      </c>
      <c r="BT527" s="3">
        <v>11.21</v>
      </c>
      <c r="BU527" t="s">
        <v>80</v>
      </c>
      <c r="BV527" t="s">
        <v>90</v>
      </c>
      <c r="BW527" t="s">
        <v>92</v>
      </c>
      <c r="BZ527" s="1">
        <v>45107</v>
      </c>
    </row>
    <row r="528" spans="1:78" ht="15" customHeight="1" x14ac:dyDescent="0.25">
      <c r="A528" t="s">
        <v>167</v>
      </c>
      <c r="B528" t="s">
        <v>94</v>
      </c>
      <c r="C528" s="1">
        <v>44795</v>
      </c>
      <c r="D528" s="1">
        <v>44837</v>
      </c>
      <c r="H528" t="s">
        <v>78</v>
      </c>
      <c r="I528" t="str">
        <f>"CASACLANG"</f>
        <v>CASACLANG</v>
      </c>
      <c r="J528" t="str">
        <f>"BEVERLY"</f>
        <v>BEVERLY</v>
      </c>
      <c r="K528" t="str">
        <f>"FLORES"</f>
        <v>FLORES</v>
      </c>
      <c r="L528" t="str">
        <f>"Accountant"</f>
        <v>Accountant</v>
      </c>
      <c r="M528" t="str">
        <f>"Unit Annex 103 Pangelinan Bldg. Chalan Pale Arnold"</f>
        <v>Unit Annex 103 Pangelinan Bldg. Chalan Pale Arnold</v>
      </c>
      <c r="N528" t="str">
        <f>""</f>
        <v/>
      </c>
      <c r="O528" t="str">
        <f>"SAIPAN"</f>
        <v>SAIPAN</v>
      </c>
      <c r="P528" t="str">
        <f t="shared" si="284"/>
        <v>MP</v>
      </c>
      <c r="Q528" s="4" t="str">
        <f t="shared" si="278"/>
        <v>96950</v>
      </c>
      <c r="R528" t="str">
        <f t="shared" si="279"/>
        <v>UNITED STATES OF AMERICA</v>
      </c>
      <c r="S528" t="str">
        <f>""</f>
        <v/>
      </c>
      <c r="T528" s="5" t="str">
        <f>"16707830215"</f>
        <v>16707830215</v>
      </c>
      <c r="U528" t="str">
        <f>""</f>
        <v/>
      </c>
      <c r="V528" s="5" t="str">
        <f>""</f>
        <v/>
      </c>
      <c r="W528" t="str">
        <f>"Yvenne15@yahoo.co.uk"</f>
        <v>Yvenne15@yahoo.co.uk</v>
      </c>
      <c r="X528" t="str">
        <f>"MB TECH Micronesia LLC"</f>
        <v>MB TECH Micronesia LLC</v>
      </c>
      <c r="Y528" t="str">
        <f>""</f>
        <v/>
      </c>
      <c r="Z528" t="str">
        <f>"Unit Annex 103 Pangelinan Bldg. Chalan Pale Arnold"</f>
        <v>Unit Annex 103 Pangelinan Bldg. Chalan Pale Arnold</v>
      </c>
      <c r="AA528" t="str">
        <f>""</f>
        <v/>
      </c>
      <c r="AB528" t="str">
        <f>"SAIPAN"</f>
        <v>SAIPAN</v>
      </c>
      <c r="AC528" t="str">
        <f t="shared" si="280"/>
        <v>MP</v>
      </c>
      <c r="AD528" t="str">
        <f t="shared" si="285"/>
        <v>96950</v>
      </c>
      <c r="AE528" t="str">
        <f t="shared" si="283"/>
        <v>UNITED STATES OF AMERICA</v>
      </c>
      <c r="AF528" t="str">
        <f>""</f>
        <v/>
      </c>
      <c r="AG528" s="4" t="str">
        <f>"16702356622"</f>
        <v>16702356622</v>
      </c>
      <c r="AH528" t="str">
        <f>""</f>
        <v/>
      </c>
      <c r="AI528" t="str">
        <f>"236115"</f>
        <v>236115</v>
      </c>
      <c r="AJ528" t="s">
        <v>79</v>
      </c>
      <c r="AK528" t="s">
        <v>79</v>
      </c>
      <c r="AL528" t="s">
        <v>80</v>
      </c>
      <c r="AM528" t="s">
        <v>79</v>
      </c>
      <c r="AP528" t="str">
        <f>"Mobile Heavy Equipment Mechanics, Except Engines"</f>
        <v>Mobile Heavy Equipment Mechanics, Except Engines</v>
      </c>
      <c r="AQ528" t="str">
        <f>"49-3042.00"</f>
        <v>49-3042.00</v>
      </c>
      <c r="AR528" t="str">
        <f>"Mobile Heavy Equipment Mechanics, Except Engines"</f>
        <v>Mobile Heavy Equipment Mechanics, Except Engines</v>
      </c>
      <c r="AS528" t="str">
        <f>""</f>
        <v/>
      </c>
      <c r="AT528" t="s">
        <v>79</v>
      </c>
      <c r="AU528" t="str">
        <f>""</f>
        <v/>
      </c>
      <c r="AV528" t="str">
        <f>""</f>
        <v/>
      </c>
      <c r="AW528" t="s">
        <v>79</v>
      </c>
      <c r="AX528" t="str">
        <f>""</f>
        <v/>
      </c>
      <c r="AY528" t="s">
        <v>84</v>
      </c>
      <c r="BA528" t="s">
        <v>81</v>
      </c>
      <c r="BB528" t="s">
        <v>79</v>
      </c>
      <c r="BD528" t="s">
        <v>79</v>
      </c>
      <c r="BG528" t="s">
        <v>82</v>
      </c>
      <c r="BH528">
        <v>6</v>
      </c>
      <c r="BI528" t="s">
        <v>168</v>
      </c>
      <c r="BJ528" t="s">
        <v>169</v>
      </c>
      <c r="BK528" t="str">
        <f>"Unit Annex 103 Pangelinan Bldg. Chalan Pale Arnold"</f>
        <v>Unit Annex 103 Pangelinan Bldg. Chalan Pale Arnold</v>
      </c>
      <c r="BL528" t="str">
        <f>""</f>
        <v/>
      </c>
      <c r="BM528" t="str">
        <f>"Saipan"</f>
        <v>Saipan</v>
      </c>
      <c r="BO528" t="s">
        <v>83</v>
      </c>
      <c r="BP528" s="4" t="str">
        <f t="shared" si="286"/>
        <v>96950</v>
      </c>
      <c r="BQ528" t="s">
        <v>79</v>
      </c>
      <c r="BR528" t="str">
        <f>"49-3042.00"</f>
        <v>49-3042.00</v>
      </c>
      <c r="BS528" t="s">
        <v>170</v>
      </c>
      <c r="BT528" s="3">
        <v>11</v>
      </c>
      <c r="BU528" t="s">
        <v>80</v>
      </c>
      <c r="BV528" t="s">
        <v>90</v>
      </c>
      <c r="BW528" t="s">
        <v>92</v>
      </c>
      <c r="BZ528" s="1">
        <v>45107</v>
      </c>
    </row>
    <row r="529" spans="1:78" ht="15" customHeight="1" x14ac:dyDescent="0.25">
      <c r="A529" t="s">
        <v>143</v>
      </c>
      <c r="B529" t="s">
        <v>94</v>
      </c>
      <c r="C529" s="1">
        <v>44794</v>
      </c>
      <c r="D529" s="1">
        <v>44837</v>
      </c>
      <c r="H529" t="s">
        <v>78</v>
      </c>
      <c r="I529" t="str">
        <f>"GANACIAS"</f>
        <v>GANACIAS</v>
      </c>
      <c r="J529" t="str">
        <f>"LEO JUN"</f>
        <v>LEO JUN</v>
      </c>
      <c r="K529" t="str">
        <f>"MONTEMAYOR"</f>
        <v>MONTEMAYOR</v>
      </c>
      <c r="L529" t="str">
        <f>"MANAGING DIRECTOR"</f>
        <v>MANAGING DIRECTOR</v>
      </c>
      <c r="M529" t="str">
        <f>"PO Box 504651"</f>
        <v>PO Box 504651</v>
      </c>
      <c r="N529" t="str">
        <f>"RM 2-A MPS BUILDING BEACH RD SAN JOSE"</f>
        <v>RM 2-A MPS BUILDING BEACH RD SAN JOSE</v>
      </c>
      <c r="O529" t="str">
        <f>"SAIPAN"</f>
        <v>SAIPAN</v>
      </c>
      <c r="P529" t="str">
        <f t="shared" si="284"/>
        <v>MP</v>
      </c>
      <c r="Q529" s="4" t="str">
        <f t="shared" si="278"/>
        <v>96950</v>
      </c>
      <c r="R529" t="str">
        <f t="shared" si="279"/>
        <v>UNITED STATES OF AMERICA</v>
      </c>
      <c r="S529" t="str">
        <f>""</f>
        <v/>
      </c>
      <c r="T529" s="5" t="str">
        <f>"16702348904"</f>
        <v>16702348904</v>
      </c>
      <c r="U529" t="str">
        <f>""</f>
        <v/>
      </c>
      <c r="V529" s="5" t="str">
        <f>""</f>
        <v/>
      </c>
      <c r="W529" t="str">
        <f>"radiocom@radiocomusa.com"</f>
        <v>radiocom@radiocomusa.com</v>
      </c>
      <c r="X529" t="str">
        <f>"RADIOCOM SAIPAN INC"</f>
        <v>RADIOCOM SAIPAN INC</v>
      </c>
      <c r="Y529" t="str">
        <f>"ROOM RENTAL"</f>
        <v>ROOM RENTAL</v>
      </c>
      <c r="Z529" t="str">
        <f>"PO BOX 504651"</f>
        <v>PO BOX 504651</v>
      </c>
      <c r="AA529" t="str">
        <f>"Room 2A, Marianas Printing Services Bldg"</f>
        <v>Room 2A, Marianas Printing Services Bldg</v>
      </c>
      <c r="AB529" t="str">
        <f>"SAIPAN"</f>
        <v>SAIPAN</v>
      </c>
      <c r="AC529" t="str">
        <f t="shared" si="280"/>
        <v>MP</v>
      </c>
      <c r="AD529" t="str">
        <f t="shared" si="285"/>
        <v>96950</v>
      </c>
      <c r="AE529" t="str">
        <f t="shared" si="283"/>
        <v>UNITED STATES OF AMERICA</v>
      </c>
      <c r="AF529" t="str">
        <f>""</f>
        <v/>
      </c>
      <c r="AG529" s="4" t="str">
        <f>"16702348904"</f>
        <v>16702348904</v>
      </c>
      <c r="AH529" t="str">
        <f>""</f>
        <v/>
      </c>
      <c r="AI529" t="str">
        <f>"811213"</f>
        <v>811213</v>
      </c>
      <c r="AJ529" t="s">
        <v>79</v>
      </c>
      <c r="AK529" t="s">
        <v>79</v>
      </c>
      <c r="AL529" t="s">
        <v>80</v>
      </c>
      <c r="AM529" t="s">
        <v>79</v>
      </c>
      <c r="AP529" t="str">
        <f>"MAINTENANCE AND REPAIR WORKER, GENERAL"</f>
        <v>MAINTENANCE AND REPAIR WORKER, GENERAL</v>
      </c>
      <c r="AQ529" t="str">
        <f>"49-9071.00"</f>
        <v>49-9071.00</v>
      </c>
      <c r="AR529" t="str">
        <f>"Maintenance and Repair Workers, General"</f>
        <v>Maintenance and Repair Workers, General</v>
      </c>
      <c r="AS529" t="str">
        <f>"MANAGING DIRECTOR"</f>
        <v>MANAGING DIRECTOR</v>
      </c>
      <c r="AT529" t="s">
        <v>79</v>
      </c>
      <c r="AU529" t="str">
        <f>""</f>
        <v/>
      </c>
      <c r="AV529" t="str">
        <f>""</f>
        <v/>
      </c>
      <c r="AW529" t="s">
        <v>82</v>
      </c>
      <c r="AX529" t="str">
        <f>"THE EMPLOYEE’S PRIMARY PLACE OF WORK WILL BE AT EMPLOYER’S PREMISES IN 2F ROOM 2-A MARIANAS PRINTING SERVICE BUILDING, SAN JOSE, SAIPAN MP 96950/
RADIOCOM BARRACKS MONICA STREET CHALAN KANOA, SAIPAN MP 96950 AND RADIOCOM BARRACKS SINAPALO 1 ROTA MP 96951."</f>
        <v>THE EMPLOYEE’S PRIMARY PLACE OF WORK WILL BE AT EMPLOYER’S PREMISES IN 2F ROOM 2-A MARIANAS PRINTING SERVICE BUILDING, SAN JOSE, SAIPAN MP 96950/
RADIOCOM BARRACKS MONICA STREET CHALAN KANOA, SAIPAN MP 96950 AND RADIOCOM BARRACKS SINAPALO 1 ROTA MP 96951.</v>
      </c>
      <c r="AY529" t="s">
        <v>84</v>
      </c>
      <c r="BA529" t="s">
        <v>80</v>
      </c>
      <c r="BB529" t="s">
        <v>79</v>
      </c>
      <c r="BD529" t="s">
        <v>79</v>
      </c>
      <c r="BG529" t="s">
        <v>82</v>
      </c>
      <c r="BH529">
        <v>12</v>
      </c>
      <c r="BI529" t="s">
        <v>144</v>
      </c>
      <c r="BJ529" s="2" t="s">
        <v>145</v>
      </c>
      <c r="BK529" t="str">
        <f>"2ND FLOOR ROOM 2-A MARIANAS PRINTING SERVICE BLDG., SAN JOSE"</f>
        <v>2ND FLOOR ROOM 2-A MARIANAS PRINTING SERVICE BLDG., SAN JOSE</v>
      </c>
      <c r="BL529" t="str">
        <f>""</f>
        <v/>
      </c>
      <c r="BM529" t="str">
        <f>"SAIPAN"</f>
        <v>SAIPAN</v>
      </c>
      <c r="BO529" t="s">
        <v>83</v>
      </c>
      <c r="BP529" s="4" t="str">
        <f t="shared" si="286"/>
        <v>96950</v>
      </c>
      <c r="BQ529" t="s">
        <v>82</v>
      </c>
      <c r="BR529" t="str">
        <f>"49-9071.00"</f>
        <v>49-9071.00</v>
      </c>
      <c r="BS529" t="s">
        <v>146</v>
      </c>
      <c r="BT529" s="3">
        <v>9.19</v>
      </c>
      <c r="BU529" t="s">
        <v>80</v>
      </c>
      <c r="BV529" t="s">
        <v>90</v>
      </c>
      <c r="BW529" t="s">
        <v>92</v>
      </c>
      <c r="BZ529" s="1">
        <v>45107</v>
      </c>
    </row>
    <row r="530" spans="1:78" ht="15" customHeight="1" x14ac:dyDescent="0.25">
      <c r="A530" t="s">
        <v>147</v>
      </c>
      <c r="B530" t="s">
        <v>94</v>
      </c>
      <c r="C530" s="1">
        <v>44794</v>
      </c>
      <c r="D530" s="1">
        <v>44837</v>
      </c>
      <c r="H530" t="s">
        <v>78</v>
      </c>
      <c r="I530" t="str">
        <f>"GANACIAS"</f>
        <v>GANACIAS</v>
      </c>
      <c r="J530" t="str">
        <f>"LEO JUN"</f>
        <v>LEO JUN</v>
      </c>
      <c r="K530" t="str">
        <f>"MONTEMAYOR"</f>
        <v>MONTEMAYOR</v>
      </c>
      <c r="L530" t="str">
        <f>"MANAGING DIRECTOR"</f>
        <v>MANAGING DIRECTOR</v>
      </c>
      <c r="M530" t="str">
        <f>"PO BOX 504651"</f>
        <v>PO BOX 504651</v>
      </c>
      <c r="N530" t="str">
        <f>"Room 2A, Marianas Printing Services Bldg."</f>
        <v>Room 2A, Marianas Printing Services Bldg.</v>
      </c>
      <c r="O530" t="str">
        <f>"SAIPAN"</f>
        <v>SAIPAN</v>
      </c>
      <c r="P530" t="str">
        <f t="shared" si="284"/>
        <v>MP</v>
      </c>
      <c r="Q530" s="4" t="str">
        <f t="shared" si="278"/>
        <v>96950</v>
      </c>
      <c r="R530" t="str">
        <f t="shared" si="279"/>
        <v>UNITED STATES OF AMERICA</v>
      </c>
      <c r="S530" t="str">
        <f>""</f>
        <v/>
      </c>
      <c r="T530" s="5" t="str">
        <f>"16702348904"</f>
        <v>16702348904</v>
      </c>
      <c r="U530" t="str">
        <f>""</f>
        <v/>
      </c>
      <c r="V530" s="5" t="str">
        <f>""</f>
        <v/>
      </c>
      <c r="W530" t="str">
        <f>"radiocom@radiocomusa.com"</f>
        <v>radiocom@radiocomusa.com</v>
      </c>
      <c r="X530" t="str">
        <f>"RadioCom Saipan Inc."</f>
        <v>RadioCom Saipan Inc.</v>
      </c>
      <c r="Y530" t="str">
        <f>"ROOM RENTAL"</f>
        <v>ROOM RENTAL</v>
      </c>
      <c r="Z530" t="str">
        <f>"PO BOX 504651"</f>
        <v>PO BOX 504651</v>
      </c>
      <c r="AA530" t="str">
        <f>"2ND FLOOR ROOM 2-A MARIANAS PRINTING SERVICE BLDG., SAN JOSE"</f>
        <v>2ND FLOOR ROOM 2-A MARIANAS PRINTING SERVICE BLDG., SAN JOSE</v>
      </c>
      <c r="AB530" t="str">
        <f>"SAIPAN"</f>
        <v>SAIPAN</v>
      </c>
      <c r="AC530" t="str">
        <f t="shared" si="280"/>
        <v>MP</v>
      </c>
      <c r="AD530" t="str">
        <f t="shared" si="285"/>
        <v>96950</v>
      </c>
      <c r="AE530" t="str">
        <f t="shared" si="283"/>
        <v>UNITED STATES OF AMERICA</v>
      </c>
      <c r="AF530" t="str">
        <f>""</f>
        <v/>
      </c>
      <c r="AG530" s="4" t="str">
        <f>"16702348904"</f>
        <v>16702348904</v>
      </c>
      <c r="AH530" t="str">
        <f>""</f>
        <v/>
      </c>
      <c r="AI530" t="str">
        <f>"811213"</f>
        <v>811213</v>
      </c>
      <c r="AJ530" t="s">
        <v>79</v>
      </c>
      <c r="AK530" t="s">
        <v>79</v>
      </c>
      <c r="AL530" t="s">
        <v>80</v>
      </c>
      <c r="AM530" t="s">
        <v>79</v>
      </c>
      <c r="AP530" t="str">
        <f>"MAINTENANCE AND REPAIR WORKER, GENERAL"</f>
        <v>MAINTENANCE AND REPAIR WORKER, GENERAL</v>
      </c>
      <c r="AQ530" t="str">
        <f>"49-9071.00"</f>
        <v>49-9071.00</v>
      </c>
      <c r="AR530" t="str">
        <f>"Maintenance and Repair Workers, General"</f>
        <v>Maintenance and Repair Workers, General</v>
      </c>
      <c r="AS530" t="str">
        <f>"MANAGING DIRECTOR"</f>
        <v>MANAGING DIRECTOR</v>
      </c>
      <c r="AT530" t="s">
        <v>79</v>
      </c>
      <c r="AU530" t="str">
        <f>""</f>
        <v/>
      </c>
      <c r="AV530" t="str">
        <f>""</f>
        <v/>
      </c>
      <c r="AW530" t="s">
        <v>82</v>
      </c>
      <c r="AX530" t="str">
        <f>"THE EMPLOYEE’S PRIMARY PLACE OF WORK WILL BE AT EMPLOYER’S PREMISES IN 2F ROOM 2-A MARIANAS PRINTING SERVICE BUILDING, SAN JOSE, SAIPAN MP 96950/
RADIOCOM BARRACKS MONICA STREET CHALAN KANOA, SAIPAN MP 96950 AND RADIOCOM BARRACKS SINAPALO 1 ROTA MP 96951."</f>
        <v>THE EMPLOYEE’S PRIMARY PLACE OF WORK WILL BE AT EMPLOYER’S PREMISES IN 2F ROOM 2-A MARIANAS PRINTING SERVICE BUILDING, SAN JOSE, SAIPAN MP 96950/
RADIOCOM BARRACKS MONICA STREET CHALAN KANOA, SAIPAN MP 96950 AND RADIOCOM BARRACKS SINAPALO 1 ROTA MP 96951.</v>
      </c>
      <c r="AY530" t="s">
        <v>84</v>
      </c>
      <c r="BA530" t="s">
        <v>80</v>
      </c>
      <c r="BB530" t="s">
        <v>79</v>
      </c>
      <c r="BD530" t="s">
        <v>79</v>
      </c>
      <c r="BG530" t="s">
        <v>82</v>
      </c>
      <c r="BH530">
        <v>12</v>
      </c>
      <c r="BI530" t="s">
        <v>148</v>
      </c>
      <c r="BJ530" s="2" t="s">
        <v>145</v>
      </c>
      <c r="BK530" t="str">
        <f>"2ND FLOOR ROOM 2-A MARIANAS PRINTING SERVICE BLDG., SAN JOSE"</f>
        <v>2ND FLOOR ROOM 2-A MARIANAS PRINTING SERVICE BLDG., SAN JOSE</v>
      </c>
      <c r="BL530" t="str">
        <f>""</f>
        <v/>
      </c>
      <c r="BM530" t="str">
        <f>"Saipan"</f>
        <v>Saipan</v>
      </c>
      <c r="BO530" t="s">
        <v>83</v>
      </c>
      <c r="BP530" s="4" t="str">
        <f t="shared" si="286"/>
        <v>96950</v>
      </c>
      <c r="BQ530" t="s">
        <v>82</v>
      </c>
      <c r="BR530" t="str">
        <f>"49-9071.00"</f>
        <v>49-9071.00</v>
      </c>
      <c r="BS530" t="s">
        <v>146</v>
      </c>
      <c r="BT530" s="3">
        <v>9.19</v>
      </c>
      <c r="BU530" t="s">
        <v>80</v>
      </c>
      <c r="BV530" t="s">
        <v>90</v>
      </c>
      <c r="BW530" t="s">
        <v>92</v>
      </c>
      <c r="BZ530" s="1">
        <v>45107</v>
      </c>
    </row>
    <row r="531" spans="1:78" ht="15" customHeight="1" x14ac:dyDescent="0.25">
      <c r="A531" t="s">
        <v>149</v>
      </c>
      <c r="B531" t="s">
        <v>94</v>
      </c>
      <c r="C531" s="1">
        <v>44794</v>
      </c>
      <c r="D531" s="1">
        <v>44837</v>
      </c>
      <c r="H531" t="s">
        <v>78</v>
      </c>
      <c r="I531" t="str">
        <f>"Castro"</f>
        <v>Castro</v>
      </c>
      <c r="J531" t="str">
        <f>"Lilibeth"</f>
        <v>Lilibeth</v>
      </c>
      <c r="K531" t="str">
        <f>""</f>
        <v/>
      </c>
      <c r="L531" t="str">
        <f>"Director"</f>
        <v>Director</v>
      </c>
      <c r="M531" t="str">
        <f>"PMB 962 P O BOX 10005 "</f>
        <v xml:space="preserve">PMB 962 P O BOX 10005 </v>
      </c>
      <c r="N531" t="str">
        <f>""</f>
        <v/>
      </c>
      <c r="O531" t="str">
        <f>"Saipan"</f>
        <v>Saipan</v>
      </c>
      <c r="P531" t="str">
        <f t="shared" si="284"/>
        <v>MP</v>
      </c>
      <c r="Q531" s="4" t="str">
        <f t="shared" si="278"/>
        <v>96950</v>
      </c>
      <c r="R531" t="str">
        <f t="shared" si="279"/>
        <v>UNITED STATES OF AMERICA</v>
      </c>
      <c r="S531" t="str">
        <f>""</f>
        <v/>
      </c>
      <c r="T531" s="5" t="str">
        <f>"16702884970"</f>
        <v>16702884970</v>
      </c>
      <c r="U531" t="str">
        <f>""</f>
        <v/>
      </c>
      <c r="V531" s="5" t="str">
        <f>""</f>
        <v/>
      </c>
      <c r="W531" t="str">
        <f>"ganasaipan4970@gmail.com"</f>
        <v>ganasaipan4970@gmail.com</v>
      </c>
      <c r="X531" t="str">
        <f>"Gana Corporation"</f>
        <v>Gana Corporation</v>
      </c>
      <c r="Y531" t="str">
        <f>"Gana Day Care Center"</f>
        <v>Gana Day Care Center</v>
      </c>
      <c r="Z531" t="str">
        <f>"PMB 962 P O BOX 10005 "</f>
        <v xml:space="preserve">PMB 962 P O BOX 10005 </v>
      </c>
      <c r="AA531" t="str">
        <f>""</f>
        <v/>
      </c>
      <c r="AB531" t="str">
        <f>"Saipan"</f>
        <v>Saipan</v>
      </c>
      <c r="AC531" t="str">
        <f t="shared" si="280"/>
        <v>MP</v>
      </c>
      <c r="AD531" t="str">
        <f t="shared" si="285"/>
        <v>96950</v>
      </c>
      <c r="AE531" t="str">
        <f t="shared" si="283"/>
        <v>UNITED STATES OF AMERICA</v>
      </c>
      <c r="AF531" t="str">
        <f>""</f>
        <v/>
      </c>
      <c r="AG531" s="4" t="str">
        <f>"16702884970"</f>
        <v>16702884970</v>
      </c>
      <c r="AH531" t="str">
        <f>""</f>
        <v/>
      </c>
      <c r="AI531" t="str">
        <f>"624410"</f>
        <v>624410</v>
      </c>
      <c r="AJ531" t="s">
        <v>79</v>
      </c>
      <c r="AK531" t="s">
        <v>79</v>
      </c>
      <c r="AL531" t="s">
        <v>80</v>
      </c>
      <c r="AM531" t="s">
        <v>79</v>
      </c>
      <c r="AP531" t="str">
        <f>"Child Care Worker"</f>
        <v>Child Care Worker</v>
      </c>
      <c r="AQ531" t="str">
        <f>"39-9011.00"</f>
        <v>39-9011.00</v>
      </c>
      <c r="AR531" t="str">
        <f>"Childcare Workers"</f>
        <v>Childcare Workers</v>
      </c>
      <c r="AS531" t="str">
        <f>"none"</f>
        <v>none</v>
      </c>
      <c r="AT531" t="s">
        <v>79</v>
      </c>
      <c r="AU531" t="str">
        <f>""</f>
        <v/>
      </c>
      <c r="AV531" t="str">
        <f>""</f>
        <v/>
      </c>
      <c r="AW531" t="s">
        <v>79</v>
      </c>
      <c r="AX531" t="str">
        <f>""</f>
        <v/>
      </c>
      <c r="AY531" t="s">
        <v>84</v>
      </c>
      <c r="BA531" t="s">
        <v>119</v>
      </c>
      <c r="BB531" t="s">
        <v>79</v>
      </c>
      <c r="BD531" t="s">
        <v>79</v>
      </c>
      <c r="BG531" t="s">
        <v>82</v>
      </c>
      <c r="BH531">
        <v>12</v>
      </c>
      <c r="BI531" t="s">
        <v>150</v>
      </c>
      <c r="BJ531" s="2" t="s">
        <v>151</v>
      </c>
      <c r="BK531" t="str">
        <f>"KOBLERVILLE ROAD, KOBLERVILLE VILLAGE "</f>
        <v xml:space="preserve">KOBLERVILLE ROAD, KOBLERVILLE VILLAGE </v>
      </c>
      <c r="BL531" t="str">
        <f>""</f>
        <v/>
      </c>
      <c r="BM531" t="str">
        <f>"Saipan"</f>
        <v>Saipan</v>
      </c>
      <c r="BO531" t="s">
        <v>83</v>
      </c>
      <c r="BP531" s="4" t="str">
        <f t="shared" si="286"/>
        <v>96950</v>
      </c>
      <c r="BQ531" t="s">
        <v>79</v>
      </c>
      <c r="BR531" t="str">
        <f>"39-9011.01"</f>
        <v>39-9011.01</v>
      </c>
      <c r="BS531" t="s">
        <v>152</v>
      </c>
      <c r="BT531" s="3">
        <v>7.53</v>
      </c>
      <c r="BU531" t="s">
        <v>80</v>
      </c>
      <c r="BV531" t="s">
        <v>90</v>
      </c>
      <c r="BW531" t="s">
        <v>92</v>
      </c>
      <c r="BZ531" s="1">
        <v>45107</v>
      </c>
    </row>
    <row r="532" spans="1:78" ht="15" customHeight="1" x14ac:dyDescent="0.25">
      <c r="A532" t="s">
        <v>123</v>
      </c>
      <c r="B532" t="s">
        <v>94</v>
      </c>
      <c r="C532" s="1">
        <v>44792</v>
      </c>
      <c r="D532" s="1">
        <v>44837</v>
      </c>
      <c r="H532" t="s">
        <v>78</v>
      </c>
      <c r="I532" t="str">
        <f>"Nwaogu"</f>
        <v>Nwaogu</v>
      </c>
      <c r="J532" t="str">
        <f>"Ivan"</f>
        <v>Ivan</v>
      </c>
      <c r="K532" t="str">
        <f>""</f>
        <v/>
      </c>
      <c r="L532" t="str">
        <f>"Owner"</f>
        <v>Owner</v>
      </c>
      <c r="M532" t="str">
        <f>"4844 CALLE BELLA AVENUE, C/o Evershine Care"</f>
        <v>4844 CALLE BELLA AVENUE, C/o Evershine Care</v>
      </c>
      <c r="N532" t="str">
        <f>""</f>
        <v/>
      </c>
      <c r="O532" t="str">
        <f>"LAS CRUCES"</f>
        <v>LAS CRUCES</v>
      </c>
      <c r="P532" t="str">
        <f>"NM"</f>
        <v>NM</v>
      </c>
      <c r="Q532" s="4" t="str">
        <f>"88012"</f>
        <v>88012</v>
      </c>
      <c r="R532" t="str">
        <f t="shared" si="279"/>
        <v>UNITED STATES OF AMERICA</v>
      </c>
      <c r="S532" t="str">
        <f>""</f>
        <v/>
      </c>
      <c r="T532" s="5" t="str">
        <f>"14438544727"</f>
        <v>14438544727</v>
      </c>
      <c r="U532" t="str">
        <f>""</f>
        <v/>
      </c>
      <c r="V532" s="5" t="str">
        <f>""</f>
        <v/>
      </c>
      <c r="W532" t="str">
        <f>"ivan.nwaogu@evershinecare.com"</f>
        <v>ivan.nwaogu@evershinecare.com</v>
      </c>
      <c r="X532" t="str">
        <f>"Evershine Care, LLC"</f>
        <v>Evershine Care, LLC</v>
      </c>
      <c r="Y532" t="str">
        <f>"Evershine Care"</f>
        <v>Evershine Care</v>
      </c>
      <c r="Z532" t="str">
        <f>"4844 CALLE BELLA AVENUE, C/o Evershine Care"</f>
        <v>4844 CALLE BELLA AVENUE, C/o Evershine Care</v>
      </c>
      <c r="AA532" t="str">
        <f>""</f>
        <v/>
      </c>
      <c r="AB532" t="str">
        <f>"LAS CRUCES"</f>
        <v>LAS CRUCES</v>
      </c>
      <c r="AC532" t="str">
        <f>"NM"</f>
        <v>NM</v>
      </c>
      <c r="AD532" t="str">
        <f>"88012"</f>
        <v>88012</v>
      </c>
      <c r="AE532" t="str">
        <f t="shared" si="283"/>
        <v>UNITED STATES OF AMERICA</v>
      </c>
      <c r="AF532" t="str">
        <f>""</f>
        <v/>
      </c>
      <c r="AG532" s="4" t="str">
        <f>"15753825973"</f>
        <v>15753825973</v>
      </c>
      <c r="AH532" t="str">
        <f>""</f>
        <v/>
      </c>
      <c r="AI532" t="str">
        <f>"623110"</f>
        <v>623110</v>
      </c>
      <c r="AJ532" t="s">
        <v>79</v>
      </c>
      <c r="AK532" t="s">
        <v>79</v>
      </c>
      <c r="AL532" t="s">
        <v>80</v>
      </c>
      <c r="AM532" t="s">
        <v>79</v>
      </c>
      <c r="AP532" t="str">
        <f>"Licensed Practical Nurse"</f>
        <v>Licensed Practical Nurse</v>
      </c>
      <c r="AQ532" t="str">
        <f>""</f>
        <v/>
      </c>
      <c r="AR532" t="str">
        <f>""</f>
        <v/>
      </c>
      <c r="AS532" t="str">
        <f>"RN"</f>
        <v>RN</v>
      </c>
      <c r="AT532" t="s">
        <v>79</v>
      </c>
      <c r="AU532" t="str">
        <f>""</f>
        <v/>
      </c>
      <c r="AV532" t="str">
        <f>""</f>
        <v/>
      </c>
      <c r="AW532" t="s">
        <v>79</v>
      </c>
      <c r="AX532" t="str">
        <f>""</f>
        <v/>
      </c>
      <c r="AY532" t="s">
        <v>124</v>
      </c>
      <c r="BA532" t="s">
        <v>125</v>
      </c>
      <c r="BB532" t="s">
        <v>79</v>
      </c>
      <c r="BD532" t="s">
        <v>79</v>
      </c>
      <c r="BG532" t="s">
        <v>82</v>
      </c>
      <c r="BH532">
        <v>6</v>
      </c>
      <c r="BI532" t="s">
        <v>126</v>
      </c>
      <c r="BJ532" t="s">
        <v>127</v>
      </c>
      <c r="BK532" t="str">
        <f>"4844 CALLE BELLA AVENUE, C/o Evershine Care"</f>
        <v>4844 CALLE BELLA AVENUE, C/o Evershine Care</v>
      </c>
      <c r="BL532" t="str">
        <f>""</f>
        <v/>
      </c>
      <c r="BM532" t="str">
        <f>"LAS CRUCES"</f>
        <v>LAS CRUCES</v>
      </c>
      <c r="BO532" t="s">
        <v>83</v>
      </c>
      <c r="BP532" s="4" t="str">
        <f>"88012"</f>
        <v>88012</v>
      </c>
      <c r="BQ532" t="s">
        <v>79</v>
      </c>
      <c r="BR532" t="str">
        <f>"29-2061.00"</f>
        <v>29-2061.00</v>
      </c>
      <c r="BS532" t="s">
        <v>128</v>
      </c>
      <c r="BT532" s="3">
        <v>15.18</v>
      </c>
      <c r="BU532" t="s">
        <v>80</v>
      </c>
      <c r="BV532" t="s">
        <v>90</v>
      </c>
      <c r="BW532" t="s">
        <v>92</v>
      </c>
      <c r="BZ532" s="1">
        <v>45107</v>
      </c>
    </row>
    <row r="533" spans="1:78" ht="15" customHeight="1" x14ac:dyDescent="0.25">
      <c r="A533" t="s">
        <v>129</v>
      </c>
      <c r="B533" t="s">
        <v>94</v>
      </c>
      <c r="C533" s="1">
        <v>44792</v>
      </c>
      <c r="D533" s="1">
        <v>44837</v>
      </c>
      <c r="H533" t="s">
        <v>78</v>
      </c>
      <c r="I533" t="str">
        <f>"Calvo"</f>
        <v>Calvo</v>
      </c>
      <c r="J533" t="str">
        <f>"David"</f>
        <v>David</v>
      </c>
      <c r="K533" t="str">
        <f>"Mendiola"</f>
        <v>Mendiola</v>
      </c>
      <c r="L533" t="str">
        <f>"Vice President / Operations Manager"</f>
        <v>Vice President / Operations Manager</v>
      </c>
      <c r="M533" t="str">
        <f>"Carlos Songsong Calvo Highway"</f>
        <v>Carlos Songsong Calvo Highway</v>
      </c>
      <c r="N533" t="str">
        <f>"Songsong Village"</f>
        <v>Songsong Village</v>
      </c>
      <c r="O533" t="str">
        <f>"Rota"</f>
        <v>Rota</v>
      </c>
      <c r="P533" t="str">
        <f t="shared" ref="P533:P538" si="287">"MP"</f>
        <v>MP</v>
      </c>
      <c r="Q533" s="4" t="str">
        <f>"96951"</f>
        <v>96951</v>
      </c>
      <c r="R533" t="str">
        <f t="shared" si="279"/>
        <v>UNITED STATES OF AMERICA</v>
      </c>
      <c r="S533" t="str">
        <f>""</f>
        <v/>
      </c>
      <c r="T533" s="5" t="str">
        <f>"16702853262"</f>
        <v>16702853262</v>
      </c>
      <c r="U533" t="str">
        <f>""</f>
        <v/>
      </c>
      <c r="V533" s="5" t="str">
        <f>""</f>
        <v/>
      </c>
      <c r="W533" t="str">
        <f>"sasanhaya@gmail.com"</f>
        <v>sasanhaya@gmail.com</v>
      </c>
      <c r="X533" t="str">
        <f>"Calvo Enterprises, Incorporated"</f>
        <v>Calvo Enterprises, Incorporated</v>
      </c>
      <c r="Y533" t="str">
        <f>"Sasanhaya Service Station/Mobil Mart/Calvo Office Space Rental"</f>
        <v>Sasanhaya Service Station/Mobil Mart/Calvo Office Space Rental</v>
      </c>
      <c r="Z533" t="str">
        <f>"Carlos Songsong Calvo Highway"</f>
        <v>Carlos Songsong Calvo Highway</v>
      </c>
      <c r="AA533" t="str">
        <f>"Songsong Village"</f>
        <v>Songsong Village</v>
      </c>
      <c r="AB533" t="str">
        <f>"Rota"</f>
        <v>Rota</v>
      </c>
      <c r="AC533" t="str">
        <f t="shared" ref="AC533:AC538" si="288">"MP"</f>
        <v>MP</v>
      </c>
      <c r="AD533" t="str">
        <f>"96951"</f>
        <v>96951</v>
      </c>
      <c r="AE533" t="str">
        <f t="shared" si="283"/>
        <v>UNITED STATES OF AMERICA</v>
      </c>
      <c r="AF533" t="str">
        <f>""</f>
        <v/>
      </c>
      <c r="AG533" s="4" t="str">
        <f>"16705323394"</f>
        <v>16705323394</v>
      </c>
      <c r="AH533" t="str">
        <f>""</f>
        <v/>
      </c>
      <c r="AI533" t="str">
        <f>"447110"</f>
        <v>447110</v>
      </c>
      <c r="AJ533" t="s">
        <v>79</v>
      </c>
      <c r="AK533" t="s">
        <v>79</v>
      </c>
      <c r="AL533" t="s">
        <v>80</v>
      </c>
      <c r="AM533" t="s">
        <v>79</v>
      </c>
      <c r="AP533" t="str">
        <f>"Accountant"</f>
        <v>Accountant</v>
      </c>
      <c r="AQ533" t="str">
        <f>"13-2011.00"</f>
        <v>13-2011.00</v>
      </c>
      <c r="AR533" t="str">
        <f>"Accountants and Auditors"</f>
        <v>Accountants and Auditors</v>
      </c>
      <c r="AS533" t="str">
        <f>"Operations Manager"</f>
        <v>Operations Manager</v>
      </c>
      <c r="AT533" t="s">
        <v>82</v>
      </c>
      <c r="AU533" t="str">
        <f>"10"</f>
        <v>10</v>
      </c>
      <c r="AV533" t="str">
        <f>"Subordinate"</f>
        <v>Subordinate</v>
      </c>
      <c r="AW533" t="s">
        <v>79</v>
      </c>
      <c r="AX533" t="str">
        <f>""</f>
        <v/>
      </c>
      <c r="AY533" t="s">
        <v>95</v>
      </c>
      <c r="BA533" t="s">
        <v>130</v>
      </c>
      <c r="BB533" t="s">
        <v>79</v>
      </c>
      <c r="BD533" t="s">
        <v>82</v>
      </c>
      <c r="BE533">
        <v>3</v>
      </c>
      <c r="BF533" t="s">
        <v>130</v>
      </c>
      <c r="BG533" t="s">
        <v>82</v>
      </c>
      <c r="BH533">
        <v>48</v>
      </c>
      <c r="BI533" t="s">
        <v>131</v>
      </c>
      <c r="BJ533" s="2" t="s">
        <v>132</v>
      </c>
      <c r="BK533" t="str">
        <f>"Carlos Songsong Calvo Highway"</f>
        <v>Carlos Songsong Calvo Highway</v>
      </c>
      <c r="BL533" t="str">
        <f>"Songsong Village"</f>
        <v>Songsong Village</v>
      </c>
      <c r="BM533" t="str">
        <f>"Rota"</f>
        <v>Rota</v>
      </c>
      <c r="BO533" t="s">
        <v>83</v>
      </c>
      <c r="BP533" s="4" t="str">
        <f>"96951"</f>
        <v>96951</v>
      </c>
      <c r="BQ533" t="s">
        <v>79</v>
      </c>
      <c r="BR533" t="str">
        <f>"13-2011.00"</f>
        <v>13-2011.00</v>
      </c>
      <c r="BS533" t="s">
        <v>133</v>
      </c>
      <c r="BT533" s="3">
        <v>16.190000000000001</v>
      </c>
      <c r="BU533" t="s">
        <v>80</v>
      </c>
      <c r="BV533" t="s">
        <v>90</v>
      </c>
      <c r="BW533" t="s">
        <v>92</v>
      </c>
      <c r="BZ533" s="1">
        <v>45107</v>
      </c>
    </row>
    <row r="534" spans="1:78" ht="15" customHeight="1" x14ac:dyDescent="0.25">
      <c r="A534" t="s">
        <v>134</v>
      </c>
      <c r="B534" t="s">
        <v>94</v>
      </c>
      <c r="C534" s="1">
        <v>44792</v>
      </c>
      <c r="D534" s="1">
        <v>44837</v>
      </c>
      <c r="H534" t="s">
        <v>78</v>
      </c>
      <c r="I534" t="str">
        <f>"Calvo"</f>
        <v>Calvo</v>
      </c>
      <c r="J534" t="str">
        <f>"David"</f>
        <v>David</v>
      </c>
      <c r="K534" t="str">
        <f>"Mendiola"</f>
        <v>Mendiola</v>
      </c>
      <c r="L534" t="str">
        <f>"Vice President / Operations Manager"</f>
        <v>Vice President / Operations Manager</v>
      </c>
      <c r="M534" t="str">
        <f>"Carlos Songsong Calvo Highway"</f>
        <v>Carlos Songsong Calvo Highway</v>
      </c>
      <c r="N534" t="str">
        <f>"Songsong Village"</f>
        <v>Songsong Village</v>
      </c>
      <c r="O534" t="str">
        <f>"Rota "</f>
        <v xml:space="preserve">Rota </v>
      </c>
      <c r="P534" t="str">
        <f t="shared" si="287"/>
        <v>MP</v>
      </c>
      <c r="Q534" s="4" t="str">
        <f>"96951"</f>
        <v>96951</v>
      </c>
      <c r="R534" t="str">
        <f t="shared" si="279"/>
        <v>UNITED STATES OF AMERICA</v>
      </c>
      <c r="S534" t="str">
        <f>""</f>
        <v/>
      </c>
      <c r="T534" s="5" t="str">
        <f>"16702853262"</f>
        <v>16702853262</v>
      </c>
      <c r="U534" t="str">
        <f>""</f>
        <v/>
      </c>
      <c r="V534" s="5" t="str">
        <f>""</f>
        <v/>
      </c>
      <c r="W534" t="str">
        <f>"sasanhaya@gmail.com"</f>
        <v>sasanhaya@gmail.com</v>
      </c>
      <c r="X534" t="str">
        <f>"Calvo Enterprises, Incorporated"</f>
        <v>Calvo Enterprises, Incorporated</v>
      </c>
      <c r="Y534" t="str">
        <f>"Sasanhaya Service Station/Mobil Mart/Calvo Office Space Rental"</f>
        <v>Sasanhaya Service Station/Mobil Mart/Calvo Office Space Rental</v>
      </c>
      <c r="Z534" t="str">
        <f>"Carlos Songsong Calvo Highway"</f>
        <v>Carlos Songsong Calvo Highway</v>
      </c>
      <c r="AA534" t="str">
        <f>"Songsong Village"</f>
        <v>Songsong Village</v>
      </c>
      <c r="AB534" t="str">
        <f>"Rota"</f>
        <v>Rota</v>
      </c>
      <c r="AC534" t="str">
        <f t="shared" si="288"/>
        <v>MP</v>
      </c>
      <c r="AD534" t="str">
        <f>"96951"</f>
        <v>96951</v>
      </c>
      <c r="AE534" t="str">
        <f t="shared" si="283"/>
        <v>UNITED STATES OF AMERICA</v>
      </c>
      <c r="AF534" t="str">
        <f>""</f>
        <v/>
      </c>
      <c r="AG534" s="4" t="str">
        <f>"16705323394"</f>
        <v>16705323394</v>
      </c>
      <c r="AH534" t="str">
        <f>""</f>
        <v/>
      </c>
      <c r="AI534" t="str">
        <f>"447110"</f>
        <v>447110</v>
      </c>
      <c r="AJ534" t="s">
        <v>79</v>
      </c>
      <c r="AK534" t="s">
        <v>79</v>
      </c>
      <c r="AL534" t="s">
        <v>80</v>
      </c>
      <c r="AM534" t="s">
        <v>79</v>
      </c>
      <c r="AP534" t="str">
        <f>"Service Station Attendant"</f>
        <v>Service Station Attendant</v>
      </c>
      <c r="AQ534" t="str">
        <f>"53-6031.00"</f>
        <v>53-6031.00</v>
      </c>
      <c r="AR534" t="str">
        <f>"Automotive and Watercraft Service Attendants"</f>
        <v>Automotive and Watercraft Service Attendants</v>
      </c>
      <c r="AS534" t="str">
        <f>"Supervisor 1: Operations Manager, Supervisor 2: Accountant"</f>
        <v>Supervisor 1: Operations Manager, Supervisor 2: Accountant</v>
      </c>
      <c r="AT534" t="s">
        <v>79</v>
      </c>
      <c r="AU534" t="str">
        <f>""</f>
        <v/>
      </c>
      <c r="AV534" t="str">
        <f>""</f>
        <v/>
      </c>
      <c r="AW534" t="s">
        <v>79</v>
      </c>
      <c r="AX534" t="str">
        <f>""</f>
        <v/>
      </c>
      <c r="AY534" t="s">
        <v>84</v>
      </c>
      <c r="BA534" t="s">
        <v>80</v>
      </c>
      <c r="BB534" t="s">
        <v>79</v>
      </c>
      <c r="BD534" t="s">
        <v>82</v>
      </c>
      <c r="BE534">
        <v>3</v>
      </c>
      <c r="BF534" t="s">
        <v>135</v>
      </c>
      <c r="BG534" t="s">
        <v>82</v>
      </c>
      <c r="BH534">
        <v>12</v>
      </c>
      <c r="BI534" t="s">
        <v>136</v>
      </c>
      <c r="BJ534" s="2" t="s">
        <v>137</v>
      </c>
      <c r="BK534" t="str">
        <f>"Carlos Songsong Calvo Highway"</f>
        <v>Carlos Songsong Calvo Highway</v>
      </c>
      <c r="BL534" t="str">
        <f>"Songsong Village"</f>
        <v>Songsong Village</v>
      </c>
      <c r="BM534" t="str">
        <f>"Rota"</f>
        <v>Rota</v>
      </c>
      <c r="BO534" t="s">
        <v>83</v>
      </c>
      <c r="BP534" s="4" t="str">
        <f>"96951"</f>
        <v>96951</v>
      </c>
      <c r="BQ534" t="s">
        <v>79</v>
      </c>
      <c r="BR534" t="str">
        <f>"53-6031.00"</f>
        <v>53-6031.00</v>
      </c>
      <c r="BS534" t="s">
        <v>138</v>
      </c>
      <c r="BT534" s="3">
        <v>8.4600000000000009</v>
      </c>
      <c r="BU534" t="s">
        <v>80</v>
      </c>
      <c r="BV534" t="s">
        <v>90</v>
      </c>
      <c r="BW534" t="s">
        <v>92</v>
      </c>
      <c r="BZ534" s="1">
        <v>45107</v>
      </c>
    </row>
    <row r="535" spans="1:78" ht="15" customHeight="1" x14ac:dyDescent="0.25">
      <c r="A535" t="s">
        <v>139</v>
      </c>
      <c r="B535" t="s">
        <v>94</v>
      </c>
      <c r="C535" s="1">
        <v>44792</v>
      </c>
      <c r="D535" s="1">
        <v>44837</v>
      </c>
      <c r="H535" t="s">
        <v>78</v>
      </c>
      <c r="I535" t="str">
        <f>"BATALLONES"</f>
        <v>BATALLONES</v>
      </c>
      <c r="J535" t="str">
        <f>"RENATO"</f>
        <v>RENATO</v>
      </c>
      <c r="K535" t="str">
        <f>"PRADO"</f>
        <v>PRADO</v>
      </c>
      <c r="L535" t="str">
        <f>"PRESIDENT"</f>
        <v>PRESIDENT</v>
      </c>
      <c r="M535" t="str">
        <f>"2291 PUMPKIN ST., CHALAN LAU LAU"</f>
        <v>2291 PUMPKIN ST., CHALAN LAU LAU</v>
      </c>
      <c r="N535" t="str">
        <f>""</f>
        <v/>
      </c>
      <c r="O535" t="str">
        <f>"SAIPAN"</f>
        <v>SAIPAN</v>
      </c>
      <c r="P535" t="str">
        <f t="shared" si="287"/>
        <v>MP</v>
      </c>
      <c r="Q535" s="4" t="str">
        <f>"96950"</f>
        <v>96950</v>
      </c>
      <c r="R535" t="str">
        <f t="shared" si="279"/>
        <v>UNITED STATES OF AMERICA</v>
      </c>
      <c r="S535" t="str">
        <f>"SAIPAN"</f>
        <v>SAIPAN</v>
      </c>
      <c r="T535" s="5" t="str">
        <f>"16702353481"</f>
        <v>16702353481</v>
      </c>
      <c r="U535" t="str">
        <f>""</f>
        <v/>
      </c>
      <c r="V535" s="5" t="str">
        <f>""</f>
        <v/>
      </c>
      <c r="W535" t="str">
        <f>"motionrepairshop@gmail.com"</f>
        <v>motionrepairshop@gmail.com</v>
      </c>
      <c r="X535" t="str">
        <f>"MOTION AUTOMOTIVE REPAIR CENTER, INC."</f>
        <v>MOTION AUTOMOTIVE REPAIR CENTER, INC.</v>
      </c>
      <c r="Y535" t="str">
        <f>"MOTION AUTO SHOP; R&amp;D CONST., R&amp;D MANPOWER SVCS"</f>
        <v>MOTION AUTO SHOP; R&amp;D CONST., R&amp;D MANPOWER SVCS</v>
      </c>
      <c r="Z535" t="str">
        <f>"PO BOX 504029"</f>
        <v>PO BOX 504029</v>
      </c>
      <c r="AA535" t="str">
        <f>""</f>
        <v/>
      </c>
      <c r="AB535" t="str">
        <f>"SAIPAN "</f>
        <v xml:space="preserve">SAIPAN </v>
      </c>
      <c r="AC535" t="str">
        <f t="shared" si="288"/>
        <v>MP</v>
      </c>
      <c r="AD535" t="str">
        <f>"96950"</f>
        <v>96950</v>
      </c>
      <c r="AE535" t="str">
        <f t="shared" si="283"/>
        <v>UNITED STATES OF AMERICA</v>
      </c>
      <c r="AF535" t="str">
        <f>"SAIPAN"</f>
        <v>SAIPAN</v>
      </c>
      <c r="AG535" s="4" t="str">
        <f>"16702353481"</f>
        <v>16702353481</v>
      </c>
      <c r="AH535" t="str">
        <f>""</f>
        <v/>
      </c>
      <c r="AI535" t="str">
        <f>"811111"</f>
        <v>811111</v>
      </c>
      <c r="AJ535" t="s">
        <v>79</v>
      </c>
      <c r="AK535" t="s">
        <v>79</v>
      </c>
      <c r="AL535" t="s">
        <v>80</v>
      </c>
      <c r="AM535" t="s">
        <v>79</v>
      </c>
      <c r="AP535" t="str">
        <f>"ACCOUNTING ASSISTANT"</f>
        <v>ACCOUNTING ASSISTANT</v>
      </c>
      <c r="AQ535" t="str">
        <f>"43-3031.00"</f>
        <v>43-3031.00</v>
      </c>
      <c r="AR535" t="str">
        <f>"Bookkeeping, Accounting, and Auditing Clerks"</f>
        <v>Bookkeeping, Accounting, and Auditing Clerks</v>
      </c>
      <c r="AS535" t="str">
        <f>"MANAGER"</f>
        <v>MANAGER</v>
      </c>
      <c r="AT535" t="s">
        <v>79</v>
      </c>
      <c r="AU535" t="str">
        <f>""</f>
        <v/>
      </c>
      <c r="AV535" t="str">
        <f>""</f>
        <v/>
      </c>
      <c r="AW535" t="s">
        <v>79</v>
      </c>
      <c r="AX535" t="str">
        <f>""</f>
        <v/>
      </c>
      <c r="AY535" t="s">
        <v>84</v>
      </c>
      <c r="BA535" t="s">
        <v>80</v>
      </c>
      <c r="BB535" t="s">
        <v>79</v>
      </c>
      <c r="BD535" t="s">
        <v>79</v>
      </c>
      <c r="BG535" t="s">
        <v>82</v>
      </c>
      <c r="BH535">
        <v>12</v>
      </c>
      <c r="BI535" t="s">
        <v>140</v>
      </c>
      <c r="BJ535" t="s">
        <v>141</v>
      </c>
      <c r="BK535" t="str">
        <f>"2291 PUMPKIN ST., CHALAN LAU LAU"</f>
        <v>2291 PUMPKIN ST., CHALAN LAU LAU</v>
      </c>
      <c r="BL535" t="str">
        <f>""</f>
        <v/>
      </c>
      <c r="BM535" t="str">
        <f>"SAIPAN"</f>
        <v>SAIPAN</v>
      </c>
      <c r="BO535" t="s">
        <v>83</v>
      </c>
      <c r="BP535" s="4" t="str">
        <f>"96950"</f>
        <v>96950</v>
      </c>
      <c r="BQ535" t="s">
        <v>79</v>
      </c>
      <c r="BR535" t="str">
        <f>"43-3031.00"</f>
        <v>43-3031.00</v>
      </c>
      <c r="BS535" t="s">
        <v>142</v>
      </c>
      <c r="BT535" s="3">
        <v>11.21</v>
      </c>
      <c r="BU535" t="s">
        <v>80</v>
      </c>
      <c r="BV535" t="s">
        <v>90</v>
      </c>
      <c r="BW535" t="s">
        <v>92</v>
      </c>
      <c r="BZ535" s="1">
        <v>45107</v>
      </c>
    </row>
    <row r="536" spans="1:78" ht="15" customHeight="1" x14ac:dyDescent="0.25">
      <c r="A536" t="s">
        <v>114</v>
      </c>
      <c r="B536" t="s">
        <v>94</v>
      </c>
      <c r="C536" s="1">
        <v>44791</v>
      </c>
      <c r="D536" s="1">
        <v>44837</v>
      </c>
      <c r="H536" t="s">
        <v>78</v>
      </c>
      <c r="I536" t="str">
        <f>"TA"</f>
        <v>TA</v>
      </c>
      <c r="J536" t="str">
        <f>"KUY"</f>
        <v>KUY</v>
      </c>
      <c r="K536" t="str">
        <f>"BUN"</f>
        <v>BUN</v>
      </c>
      <c r="L536" t="str">
        <f>"MANAGER"</f>
        <v>MANAGER</v>
      </c>
      <c r="M536" t="str">
        <f>"P.O. BOX 501328"</f>
        <v>P.O. BOX 501328</v>
      </c>
      <c r="N536" t="str">
        <f>"BEACH ROAD, GARAPAN"</f>
        <v>BEACH ROAD, GARAPAN</v>
      </c>
      <c r="O536" t="str">
        <f>"SAIPAN"</f>
        <v>SAIPAN</v>
      </c>
      <c r="P536" t="str">
        <f t="shared" si="287"/>
        <v>MP</v>
      </c>
      <c r="Q536" s="4" t="str">
        <f>"96950"</f>
        <v>96950</v>
      </c>
      <c r="R536" t="str">
        <f t="shared" si="279"/>
        <v>UNITED STATES OF AMERICA</v>
      </c>
      <c r="S536" t="str">
        <f>""</f>
        <v/>
      </c>
      <c r="T536" s="5" t="str">
        <f>"19702332288"</f>
        <v>19702332288</v>
      </c>
      <c r="U536" t="str">
        <f>""</f>
        <v/>
      </c>
      <c r="V536" s="5" t="str">
        <f>""</f>
        <v/>
      </c>
      <c r="W536" t="str">
        <f>"photamsaipan@gmail.com"</f>
        <v>photamsaipan@gmail.com</v>
      </c>
      <c r="X536" t="str">
        <f>"TA FAMILY, LLC"</f>
        <v>TA FAMILY, LLC</v>
      </c>
      <c r="Y536" t="str">
        <f>"PHO TAM"</f>
        <v>PHO TAM</v>
      </c>
      <c r="Z536" t="str">
        <f>"P.O. BOX 501328"</f>
        <v>P.O. BOX 501328</v>
      </c>
      <c r="AA536" t="str">
        <f>"BEACH ROAD/FLORES ST., GARAPAN"</f>
        <v>BEACH ROAD/FLORES ST., GARAPAN</v>
      </c>
      <c r="AB536" t="str">
        <f>"SAIPAN"</f>
        <v>SAIPAN</v>
      </c>
      <c r="AC536" t="str">
        <f t="shared" si="288"/>
        <v>MP</v>
      </c>
      <c r="AD536" t="str">
        <f>"96950"</f>
        <v>96950</v>
      </c>
      <c r="AE536" t="str">
        <f t="shared" si="283"/>
        <v>UNITED STATES OF AMERICA</v>
      </c>
      <c r="AF536" t="str">
        <f>""</f>
        <v/>
      </c>
      <c r="AG536" s="4" t="str">
        <f>"16702332288"</f>
        <v>16702332288</v>
      </c>
      <c r="AH536" t="str">
        <f>""</f>
        <v/>
      </c>
      <c r="AI536" t="str">
        <f>"722511"</f>
        <v>722511</v>
      </c>
      <c r="AJ536" t="s">
        <v>79</v>
      </c>
      <c r="AK536" t="s">
        <v>79</v>
      </c>
      <c r="AL536" t="s">
        <v>80</v>
      </c>
      <c r="AM536" t="s">
        <v>79</v>
      </c>
      <c r="AP536" t="str">
        <f>"COOK"</f>
        <v>COOK</v>
      </c>
      <c r="AQ536" t="str">
        <f>"35-2014.00"</f>
        <v>35-2014.00</v>
      </c>
      <c r="AR536" t="str">
        <f>"Cooks, Restaurant"</f>
        <v>Cooks, Restaurant</v>
      </c>
      <c r="AS536" t="str">
        <f>"MANAGER"</f>
        <v>MANAGER</v>
      </c>
      <c r="AT536" t="s">
        <v>79</v>
      </c>
      <c r="AU536" t="str">
        <f>""</f>
        <v/>
      </c>
      <c r="AV536" t="str">
        <f>""</f>
        <v/>
      </c>
      <c r="AW536" t="s">
        <v>79</v>
      </c>
      <c r="AX536" t="str">
        <f>""</f>
        <v/>
      </c>
      <c r="AY536" t="s">
        <v>84</v>
      </c>
      <c r="BA536" t="s">
        <v>115</v>
      </c>
      <c r="BB536" t="s">
        <v>79</v>
      </c>
      <c r="BD536" t="s">
        <v>79</v>
      </c>
      <c r="BG536" t="s">
        <v>82</v>
      </c>
      <c r="BH536">
        <v>12</v>
      </c>
      <c r="BI536" t="s">
        <v>116</v>
      </c>
      <c r="BJ536" t="s">
        <v>115</v>
      </c>
      <c r="BK536" t="str">
        <f>"BEACH ROAD/FLORES ST., GARAPAN"</f>
        <v>BEACH ROAD/FLORES ST., GARAPAN</v>
      </c>
      <c r="BL536" t="str">
        <f>"P.O. BOX 501328"</f>
        <v>P.O. BOX 501328</v>
      </c>
      <c r="BM536" t="str">
        <f>"SAIPAN"</f>
        <v>SAIPAN</v>
      </c>
      <c r="BO536" t="s">
        <v>83</v>
      </c>
      <c r="BP536" s="4" t="str">
        <f>"96950"</f>
        <v>96950</v>
      </c>
      <c r="BQ536" t="s">
        <v>79</v>
      </c>
      <c r="BR536" t="str">
        <f>"35-2014.00"</f>
        <v>35-2014.00</v>
      </c>
      <c r="BS536" t="s">
        <v>117</v>
      </c>
      <c r="BT536" s="3">
        <v>8.5500000000000007</v>
      </c>
      <c r="BU536" t="s">
        <v>80</v>
      </c>
      <c r="BV536" t="s">
        <v>90</v>
      </c>
      <c r="BW536" t="s">
        <v>92</v>
      </c>
      <c r="BZ536" s="1">
        <v>45107</v>
      </c>
    </row>
    <row r="537" spans="1:78" ht="15" customHeight="1" x14ac:dyDescent="0.25">
      <c r="A537" t="s">
        <v>118</v>
      </c>
      <c r="B537" t="s">
        <v>94</v>
      </c>
      <c r="C537" s="1">
        <v>44791</v>
      </c>
      <c r="D537" s="1">
        <v>44837</v>
      </c>
      <c r="H537" t="s">
        <v>78</v>
      </c>
      <c r="I537" t="str">
        <f>"MALLICK"</f>
        <v>MALLICK</v>
      </c>
      <c r="J537" t="str">
        <f>"JOY"</f>
        <v>JOY</v>
      </c>
      <c r="K537" t="str">
        <f>""</f>
        <v/>
      </c>
      <c r="L537" t="str">
        <f>"CORPORATE SECRETARY"</f>
        <v>CORPORATE SECRETARY</v>
      </c>
      <c r="M537" t="str">
        <f>"CHALAN PALE ARNOLD, GUALO RAI"</f>
        <v>CHALAN PALE ARNOLD, GUALO RAI</v>
      </c>
      <c r="N537" t="str">
        <f>"PMB 562 PO BOX 10002"</f>
        <v>PMB 562 PO BOX 10002</v>
      </c>
      <c r="O537" t="str">
        <f>"SAIPAN"</f>
        <v>SAIPAN</v>
      </c>
      <c r="P537" t="str">
        <f t="shared" si="287"/>
        <v>MP</v>
      </c>
      <c r="Q537" s="4" t="str">
        <f>"96950"</f>
        <v>96950</v>
      </c>
      <c r="R537" t="str">
        <f t="shared" si="279"/>
        <v>UNITED STATES OF AMERICA</v>
      </c>
      <c r="S537" t="str">
        <f>""</f>
        <v/>
      </c>
      <c r="T537" s="5" t="str">
        <f>"16702873629"</f>
        <v>16702873629</v>
      </c>
      <c r="U537" t="str">
        <f>""</f>
        <v/>
      </c>
      <c r="V537" s="5" t="str">
        <f>""</f>
        <v/>
      </c>
      <c r="W537" t="str">
        <f>"RRCORP.SPN@GMAIL.COM"</f>
        <v>RRCORP.SPN@GMAIL.COM</v>
      </c>
      <c r="X537" t="str">
        <f>"R &amp; R CORPORATION"</f>
        <v>R &amp; R CORPORATION</v>
      </c>
      <c r="Y537" t="str">
        <f>""</f>
        <v/>
      </c>
      <c r="Z537" t="str">
        <f>"CHALAN PALE ARNOLD, GUALO RAI"</f>
        <v>CHALAN PALE ARNOLD, GUALO RAI</v>
      </c>
      <c r="AA537" t="str">
        <f>"PMB 562 PO BOX 10002"</f>
        <v>PMB 562 PO BOX 10002</v>
      </c>
      <c r="AB537" t="str">
        <f>"SAIPAN"</f>
        <v>SAIPAN</v>
      </c>
      <c r="AC537" t="str">
        <f t="shared" si="288"/>
        <v>MP</v>
      </c>
      <c r="AD537" t="str">
        <f>"96950"</f>
        <v>96950</v>
      </c>
      <c r="AE537" t="str">
        <f t="shared" si="283"/>
        <v>UNITED STATES OF AMERICA</v>
      </c>
      <c r="AF537" t="str">
        <f>""</f>
        <v/>
      </c>
      <c r="AG537" s="4" t="str">
        <f>"16702873629"</f>
        <v>16702873629</v>
      </c>
      <c r="AH537" t="str">
        <f>""</f>
        <v/>
      </c>
      <c r="AI537" t="str">
        <f>"56173"</f>
        <v>56173</v>
      </c>
      <c r="AJ537" t="s">
        <v>79</v>
      </c>
      <c r="AK537" t="s">
        <v>79</v>
      </c>
      <c r="AL537" t="s">
        <v>80</v>
      </c>
      <c r="AM537" t="s">
        <v>79</v>
      </c>
      <c r="AP537" t="str">
        <f>"LAWNCARE MAINTENANCE WORKER"</f>
        <v>LAWNCARE MAINTENANCE WORKER</v>
      </c>
      <c r="AQ537" t="str">
        <f>"37-3011.00"</f>
        <v>37-3011.00</v>
      </c>
      <c r="AR537" t="str">
        <f>"Landscaping and Groundskeeping Workers"</f>
        <v>Landscaping and Groundskeeping Workers</v>
      </c>
      <c r="AS537" t="str">
        <f>"MANAGER"</f>
        <v>MANAGER</v>
      </c>
      <c r="AT537" t="s">
        <v>79</v>
      </c>
      <c r="AU537" t="str">
        <f>""</f>
        <v/>
      </c>
      <c r="AV537" t="str">
        <f>""</f>
        <v/>
      </c>
      <c r="AW537" t="s">
        <v>79</v>
      </c>
      <c r="AX537" t="str">
        <f>""</f>
        <v/>
      </c>
      <c r="AY537" t="s">
        <v>84</v>
      </c>
      <c r="BA537" t="s">
        <v>119</v>
      </c>
      <c r="BB537" t="s">
        <v>79</v>
      </c>
      <c r="BD537" t="s">
        <v>79</v>
      </c>
      <c r="BG537" t="s">
        <v>82</v>
      </c>
      <c r="BH537">
        <v>3</v>
      </c>
      <c r="BI537" t="s">
        <v>120</v>
      </c>
      <c r="BJ537" t="s">
        <v>121</v>
      </c>
      <c r="BK537" t="str">
        <f>"CHALAN PALE ARNOLD GUALO RAI"</f>
        <v>CHALAN PALE ARNOLD GUALO RAI</v>
      </c>
      <c r="BL537" t="str">
        <f>"PMB 562 PO BOX  10002"</f>
        <v>PMB 562 PO BOX  10002</v>
      </c>
      <c r="BM537" t="str">
        <f>"SAIPAN"</f>
        <v>SAIPAN</v>
      </c>
      <c r="BO537" t="s">
        <v>83</v>
      </c>
      <c r="BP537" s="4" t="str">
        <f>"96950"</f>
        <v>96950</v>
      </c>
      <c r="BQ537" t="s">
        <v>79</v>
      </c>
      <c r="BR537" t="str">
        <f>"37-3011.00"</f>
        <v>37-3011.00</v>
      </c>
      <c r="BS537" t="s">
        <v>122</v>
      </c>
      <c r="BT537" s="3">
        <v>8.1300000000000008</v>
      </c>
      <c r="BU537" t="s">
        <v>80</v>
      </c>
      <c r="BV537" t="s">
        <v>90</v>
      </c>
      <c r="BW537" t="s">
        <v>92</v>
      </c>
      <c r="BZ537" s="1">
        <v>45107</v>
      </c>
    </row>
    <row r="538" spans="1:78" ht="15" customHeight="1" x14ac:dyDescent="0.25">
      <c r="A538" t="s">
        <v>802</v>
      </c>
      <c r="B538" t="s">
        <v>803</v>
      </c>
      <c r="C538" s="1">
        <v>44838</v>
      </c>
      <c r="G538" s="1">
        <v>44890</v>
      </c>
      <c r="H538" t="s">
        <v>78</v>
      </c>
      <c r="I538" t="str">
        <f>"PO"</f>
        <v>PO</v>
      </c>
      <c r="J538" t="str">
        <f>"EMMANUEL"</f>
        <v>EMMANUEL</v>
      </c>
      <c r="K538" t="str">
        <f>"LIM"</f>
        <v>LIM</v>
      </c>
      <c r="L538" t="str">
        <f>"SECRETARY"</f>
        <v>SECRETARY</v>
      </c>
      <c r="M538" t="str">
        <f>"KANNAT TABLA DRIVE CORNER LONG LANE"</f>
        <v>KANNAT TABLA DRIVE CORNER LONG LANE</v>
      </c>
      <c r="N538" t="str">
        <f>""</f>
        <v/>
      </c>
      <c r="O538" t="str">
        <f>"SAIPAN"</f>
        <v>SAIPAN</v>
      </c>
      <c r="P538" t="str">
        <f t="shared" si="287"/>
        <v>MP</v>
      </c>
      <c r="Q538" s="4" t="str">
        <f>"96950"</f>
        <v>96950</v>
      </c>
      <c r="R538" t="str">
        <f t="shared" si="279"/>
        <v>UNITED STATES OF AMERICA</v>
      </c>
      <c r="S538" t="str">
        <f>""</f>
        <v/>
      </c>
      <c r="T538" s="5" t="str">
        <f>"16702350064"</f>
        <v>16702350064</v>
      </c>
      <c r="U538" t="str">
        <f>""</f>
        <v/>
      </c>
      <c r="V538" s="5" t="str">
        <f>""</f>
        <v/>
      </c>
      <c r="W538" t="str">
        <f>"primtek.construct@yahoo.com"</f>
        <v>primtek.construct@yahoo.com</v>
      </c>
      <c r="X538" t="str">
        <f>"PRIMTEK INCORPORATED"</f>
        <v>PRIMTEK INCORPORATED</v>
      </c>
      <c r="Y538" t="str">
        <f>"PRIMTEK  CONSTRUCTION"</f>
        <v>PRIMTEK  CONSTRUCTION</v>
      </c>
      <c r="Z538" t="str">
        <f>"KANNAT TABLA DRIVE CORNER LONG LANE"</f>
        <v>KANNAT TABLA DRIVE CORNER LONG LANE</v>
      </c>
      <c r="AA538" t="str">
        <f>""</f>
        <v/>
      </c>
      <c r="AB538" t="str">
        <f>"SAIPAN"</f>
        <v>SAIPAN</v>
      </c>
      <c r="AC538" t="str">
        <f t="shared" si="288"/>
        <v>MP</v>
      </c>
      <c r="AD538" t="str">
        <f>"96950"</f>
        <v>96950</v>
      </c>
      <c r="AE538" t="str">
        <f t="shared" si="283"/>
        <v>UNITED STATES OF AMERICA</v>
      </c>
      <c r="AF538" t="str">
        <f>""</f>
        <v/>
      </c>
      <c r="AG538" s="4" t="str">
        <f>"16702350064"</f>
        <v>16702350064</v>
      </c>
      <c r="AH538" t="str">
        <f>""</f>
        <v/>
      </c>
      <c r="AI538" t="str">
        <f>"236220"</f>
        <v>236220</v>
      </c>
      <c r="AJ538" t="s">
        <v>79</v>
      </c>
      <c r="AK538" t="s">
        <v>79</v>
      </c>
      <c r="AL538" t="s">
        <v>80</v>
      </c>
      <c r="AM538" t="s">
        <v>79</v>
      </c>
      <c r="AP538" t="str">
        <f>"ELECTRICAL ENGINEERING TECHNICIAN"</f>
        <v>ELECTRICAL ENGINEERING TECHNICIAN</v>
      </c>
      <c r="AQ538" t="str">
        <f>"17-3023.00"</f>
        <v>17-3023.00</v>
      </c>
      <c r="AR538" t="str">
        <f>"Electrical and Electronic Engineering Technologists and Technicians"</f>
        <v>Electrical and Electronic Engineering Technologists and Technicians</v>
      </c>
      <c r="AS538" t="str">
        <f>"OPERATIONS MANAGER"</f>
        <v>OPERATIONS MANAGER</v>
      </c>
      <c r="AT538" t="s">
        <v>82</v>
      </c>
      <c r="AU538" t="str">
        <f>"4"</f>
        <v>4</v>
      </c>
      <c r="AV538" t="str">
        <f>"Subordinate"</f>
        <v>Subordinate</v>
      </c>
      <c r="AW538" t="s">
        <v>79</v>
      </c>
      <c r="AX538" t="str">
        <f>""</f>
        <v/>
      </c>
      <c r="AY538" t="s">
        <v>124</v>
      </c>
      <c r="BA538" t="s">
        <v>804</v>
      </c>
      <c r="BB538" t="s">
        <v>79</v>
      </c>
      <c r="BD538" t="s">
        <v>79</v>
      </c>
      <c r="BG538" t="s">
        <v>82</v>
      </c>
      <c r="BH538">
        <v>24</v>
      </c>
      <c r="BI538" t="s">
        <v>805</v>
      </c>
      <c r="BJ538" t="s">
        <v>806</v>
      </c>
      <c r="BK538" t="str">
        <f>"KANNAT TABLA DRIVE CORNER LONG LANE"</f>
        <v>KANNAT TABLA DRIVE CORNER LONG LANE</v>
      </c>
      <c r="BL538" t="str">
        <f>""</f>
        <v/>
      </c>
      <c r="BM538" t="str">
        <f>"SAIPAN"</f>
        <v>SAIPAN</v>
      </c>
      <c r="BO538" t="s">
        <v>83</v>
      </c>
      <c r="BP538" s="4" t="str">
        <f>"96950"</f>
        <v>96950</v>
      </c>
      <c r="BQ538" t="s">
        <v>79</v>
      </c>
      <c r="BR538" t="str">
        <f>""</f>
        <v/>
      </c>
    </row>
  </sheetData>
  <autoFilter ref="A1:BZ551" xr:uid="{00000000-0001-0000-0000-000000000000}"/>
  <sortState xmlns:xlrd2="http://schemas.microsoft.com/office/spreadsheetml/2017/richdata2" ref="A2:BZ538">
    <sortCondition ref="B1:B538"/>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PW_Disclosure_Data_FY2023_Q1_ol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Jordan, Rob - ETA</dc:creator>
  <cp:lastModifiedBy>Jordan, Rob - ETA</cp:lastModifiedBy>
  <dcterms:created xsi:type="dcterms:W3CDTF">2023-01-04T12:59:39Z</dcterms:created>
  <dcterms:modified xsi:type="dcterms:W3CDTF">2023-01-12T10:16:46Z</dcterms:modified>
</cp:coreProperties>
</file>