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00" windowHeight="10860" activeTab="0"/>
  </bookViews>
  <sheets>
    <sheet name="Table" sheetId="1" r:id="rId1"/>
    <sheet name="Footnotes" sheetId="2" r:id="rId2"/>
  </sheets>
  <definedNames>
    <definedName name="_Regression_Int" localSheetId="0" hidden="1">0</definedName>
    <definedName name="DATABASE">'Table'!$A$5</definedName>
    <definedName name="Database_MI">'Table'!$A$5</definedName>
    <definedName name="_xlnm.Print_Area" localSheetId="1">'Footnotes'!$A$1:$O$168</definedName>
    <definedName name="_xlnm.Print_Area" localSheetId="0">'Table'!$A$1:$BU$94</definedName>
    <definedName name="Print_Area_MI" localSheetId="0">'Table'!$5:$94</definedName>
    <definedName name="_xlnm.Print_Titles" localSheetId="1">'Footnotes'!$1:$6</definedName>
    <definedName name="_xlnm.Print_Titles" localSheetId="0">'Table'!$A:$E</definedName>
  </definedNames>
  <calcPr fullCalcOnLoad="1"/>
</workbook>
</file>

<file path=xl/sharedStrings.xml><?xml version="1.0" encoding="utf-8"?>
<sst xmlns="http://schemas.openxmlformats.org/spreadsheetml/2006/main" count="2072" uniqueCount="247">
  <si>
    <t xml:space="preserve"> </t>
  </si>
  <si>
    <t>FY 1984</t>
  </si>
  <si>
    <t xml:space="preserve">  </t>
  </si>
  <si>
    <t>TP 1984</t>
  </si>
  <si>
    <t>PY 1984</t>
  </si>
  <si>
    <t xml:space="preserve"> Total</t>
  </si>
  <si>
    <t>FY 1985</t>
  </si>
  <si>
    <t>FY 1986</t>
  </si>
  <si>
    <t>TOTAL TRAINING &amp; EMPLOYMENT PGMS</t>
  </si>
  <si>
    <t>TRAINING &amp; EMPLOYMENT SERVICES</t>
  </si>
  <si>
    <t>Special Olympics</t>
  </si>
  <si>
    <t>Clean Air</t>
  </si>
  <si>
    <t>Disaster Job Training</t>
  </si>
  <si>
    <t>Job Corps</t>
  </si>
  <si>
    <t>Operations</t>
  </si>
  <si>
    <t>Native Americans</t>
  </si>
  <si>
    <t>Migrants &amp; Seasonal Farmworkers</t>
  </si>
  <si>
    <t>Veterans Employment</t>
  </si>
  <si>
    <t>National Activities</t>
  </si>
  <si>
    <t>Labor Market Information</t>
  </si>
  <si>
    <t>Nat'l Occup. &amp; Info. Coord. Comm.</t>
  </si>
  <si>
    <t>Tech Asst &amp; Trng/Capacity Building</t>
  </si>
  <si>
    <t>National Committee for Employment Policy</t>
  </si>
  <si>
    <t>Rural Concentrated Employment Pgms</t>
  </si>
  <si>
    <t>American Samoans</t>
  </si>
  <si>
    <t>Youth Fair Chance</t>
  </si>
  <si>
    <t>Microenterprise Grants</t>
  </si>
  <si>
    <t>Targeted Jobs Tax Credit</t>
  </si>
  <si>
    <t>Redwood</t>
  </si>
  <si>
    <t>Trade</t>
  </si>
  <si>
    <t>Homeless Job Training</t>
  </si>
  <si>
    <t>ETA</t>
  </si>
  <si>
    <t>Veterans Employment &amp; Training Service</t>
  </si>
  <si>
    <t>Women In Apprenticeship</t>
  </si>
  <si>
    <t>Natl Skill Standards Adv Brd</t>
  </si>
  <si>
    <t>School-to-Work</t>
  </si>
  <si>
    <t>Paralympic Games</t>
  </si>
  <si>
    <t>Glass Ceiling Commission</t>
  </si>
  <si>
    <t>Nat'l Ctr. for Workplace</t>
  </si>
  <si>
    <t>WELFARE-TO-WORK JOBS</t>
  </si>
  <si>
    <t>COMMUNITY SERVICE EMPLOYMENT</t>
  </si>
  <si>
    <t>FOR OLDER AMERICANS</t>
  </si>
  <si>
    <t xml:space="preserve">     National Programs</t>
  </si>
  <si>
    <t xml:space="preserve">     State Programs</t>
  </si>
  <si>
    <t>FY 1987</t>
  </si>
  <si>
    <t>FY 1988</t>
  </si>
  <si>
    <t>FY 1989</t>
  </si>
  <si>
    <t>FY 1990</t>
  </si>
  <si>
    <t>FY 1991</t>
  </si>
  <si>
    <t>FY 1992</t>
  </si>
  <si>
    <t>FY 1993</t>
  </si>
  <si>
    <t>FY 1994</t>
  </si>
  <si>
    <t>FY 1995</t>
  </si>
  <si>
    <t>FY 1996</t>
  </si>
  <si>
    <t>FY 1997</t>
  </si>
  <si>
    <t>FY 1998</t>
  </si>
  <si>
    <t>FY 1999</t>
  </si>
  <si>
    <t>FY 2000</t>
  </si>
  <si>
    <t>FY 2001</t>
  </si>
  <si>
    <t>JTPA/WIA Total</t>
  </si>
  <si>
    <t>JTPA II-A Block Grants</t>
  </si>
  <si>
    <t>JTPA/WIA Adults</t>
  </si>
  <si>
    <t>JTPA/WIA Dislocated Worker Assistance</t>
  </si>
  <si>
    <t>--</t>
  </si>
  <si>
    <t>Youth Activities Total</t>
  </si>
  <si>
    <t>JTPA Summer Youth Empl &amp; Trng *</t>
  </si>
  <si>
    <t>JTPA Youth Training</t>
  </si>
  <si>
    <t>WIA Youth Activities</t>
  </si>
  <si>
    <t>WIA Youth Opportunity Grants Total</t>
  </si>
  <si>
    <t>Youth Opportunity Grants</t>
  </si>
  <si>
    <t>Migrant Youth</t>
  </si>
  <si>
    <t>Rewarding Youth Achievement</t>
  </si>
  <si>
    <t>Evaluation</t>
  </si>
  <si>
    <t>Technical Assistance</t>
  </si>
  <si>
    <t xml:space="preserve">Construction </t>
  </si>
  <si>
    <t>Research &amp; Evaluation (JTPA)</t>
  </si>
  <si>
    <t>Pilots &amp; Demos (JTPA)</t>
  </si>
  <si>
    <t>WIA Pilots, Demos &amp; Research</t>
  </si>
  <si>
    <t>WIA Evaluation</t>
  </si>
  <si>
    <t>WIA Technical Assistance</t>
  </si>
  <si>
    <t>WIA Incentive Grants</t>
  </si>
  <si>
    <t>Safe Schools/Healthy Students</t>
  </si>
  <si>
    <t>Incumbent Worker Training</t>
  </si>
  <si>
    <t>*</t>
  </si>
  <si>
    <t>Summer of 1984</t>
  </si>
  <si>
    <t>Summer of 1985</t>
  </si>
  <si>
    <t>Summer of 1986</t>
  </si>
  <si>
    <t>Summer of 1987</t>
  </si>
  <si>
    <t>Summer of 1988</t>
  </si>
  <si>
    <t>Summer of 1989</t>
  </si>
  <si>
    <t>Summer of 1990</t>
  </si>
  <si>
    <t>Summer of 1991</t>
  </si>
  <si>
    <t>Summer of 1992</t>
  </si>
  <si>
    <t>Summer of 1993</t>
  </si>
  <si>
    <t>Summer of 1994</t>
  </si>
  <si>
    <t>Summer of 1995</t>
  </si>
  <si>
    <t>Summer of 1996</t>
  </si>
  <si>
    <t>Summer of 1997</t>
  </si>
  <si>
    <t>Summer of 1998</t>
  </si>
  <si>
    <t>Summer of 1999</t>
  </si>
  <si>
    <t>$4 million of FY 1987 funds used to fund trade requests.</t>
  </si>
  <si>
    <t>Reflects $50 million recission.</t>
  </si>
  <si>
    <t>Youth Opportunity Grants authorized by Workforce Investment Act of 1998.</t>
  </si>
  <si>
    <t>Funds now requested in the VETS appropriation.</t>
  </si>
  <si>
    <t>(Dollars in 000's)</t>
  </si>
  <si>
    <t xml:space="preserve">$28 million for workers displaced by the earthquake in southern California (Disl Wrkr Asst) and $5 million for LA Job Links (Pilots&amp;Demos). </t>
  </si>
  <si>
    <t>Special Olympics are funded from reductions to Part B (Discretionary) of Title III of JTPA.  $2 million of 1999 discretionary funds were transferred to MSHA.</t>
  </si>
  <si>
    <t>$250 million advance JTPA appropriation for Opportunity Grants for Out-of-School Youth in FY 1998 to be available for FY 1999 was rescinded in the FY 1999 appropriation.</t>
  </si>
  <si>
    <t>$7 million of FY 1999 appropriation for migrant and seasonal farmworkers is available in Program Year 1998 for farmworker drought relief.</t>
  </si>
  <si>
    <t>Excludes $12 million available to Health and Human Services for evaluations. Reflects Congressional rescission of FY 1999 unobligated formula funds ($87,190,000) and rescission of $100 million of FY 1999 funds available in 2000 and 2001 for performance grants.</t>
  </si>
  <si>
    <t>FY 2002</t>
  </si>
  <si>
    <t>FY 2003</t>
  </si>
  <si>
    <t>FY 2004</t>
  </si>
  <si>
    <t>WORKERS COMPENSATION PROGRAMS</t>
  </si>
  <si>
    <t>H-1B Skill Training Grants (Mandatory)</t>
  </si>
  <si>
    <t>Denali Commission</t>
  </si>
  <si>
    <t>Emergency Response Funds</t>
  </si>
  <si>
    <t xml:space="preserve">Pursuant to P.L. 107-20, enacted 7/24/01, reflects $25 million in supplemental funds for Youth Activities and rescissions of $25 million for Youth Opportunities Grants, $20 million for Incumbent Workers and $20 million for Safe Schools/Healthy Students.  </t>
  </si>
  <si>
    <t xml:space="preserve">Pursuant to Trade Adjustment Assistance Reform Act of 2002, P.L. 107-210, enacted 8/6/02.  FY 2002 funds are mandatory funds.  </t>
  </si>
  <si>
    <t>Pursuant to Consolidated Appropriations Act, 2004, P.L. 108-199, enacted 1/23/04, includes .59% across-the-board Fiscal Year 2004 rescissions applicable to discretionary funds for 2004 (but not applicable to advance funds available in Fiscal Year 2005 for Adults, Dislocated Workers and Job Corps - see footnote for those programs).</t>
  </si>
  <si>
    <t>Trade Health Assistance</t>
  </si>
  <si>
    <t>Trade Health Assistance Admin</t>
  </si>
  <si>
    <t>National Reserve</t>
  </si>
  <si>
    <t>FY 2005</t>
  </si>
  <si>
    <t>Prisoner Reentry</t>
  </si>
  <si>
    <t>Community-Based Job Training Grants</t>
  </si>
  <si>
    <t>Formula</t>
  </si>
  <si>
    <t>Pursuant to Consolidated Appropriations Act, 2003, P.L. 108-7, enacted 2/20/03, includes .65% across-the-board Fiscal Year 2003 rescissions applicable to discretionary funds for 2003 (but not applicable to advance funds available in Fiscal Year 2004 for Adults, Dislocated Workers and Job Corps - see footnote for those programs).</t>
  </si>
  <si>
    <t>Reflects an increase of $795,280 appropriated for the Employment &amp; Training Administration in the 2005 Defense Department Appropriations Act.</t>
  </si>
  <si>
    <t>Reflects reduction by $3.8 million for Teamsters election and $3.0 million reprogrammed to Skill Standards.</t>
  </si>
  <si>
    <t>Includes $28 million appropriated for use in FY 1996.</t>
  </si>
  <si>
    <t>Reflects $5 million transferred from Dislocated Workers Discretionary to Pilots &amp; Demos. As Special Olympics are funded from reductions to Part B (Discretionary) of Title III Of JTPA.</t>
  </si>
  <si>
    <t>$100 million of FY 1985 Summer Youth $  allocated for PY 1984 Summer program.</t>
  </si>
  <si>
    <t>$100 million of FY 1985 Summer Youth $ allocated for PY 1984 Summer program.</t>
  </si>
  <si>
    <t>Includes $2.5 million transferred from FY 1989 as authorized by Omnibus Trade and Competitiveness Act of 1988, P.L. 100-418, dated 8/23/88.</t>
  </si>
  <si>
    <t>Includes $1.5 million advance funding not available until FY 1991.</t>
  </si>
  <si>
    <t>Does not include $500 million for Dire Emergency Supplemental Appropriations, P.L. 102-302.</t>
  </si>
  <si>
    <t>Does not include $1.5 million advance funding available in FY 1991, but appropriated in FY 1990.</t>
  </si>
  <si>
    <t>Includes $166.5 million in supplemental funding.</t>
  </si>
  <si>
    <t xml:space="preserve">Includes supplemental of: $2.530 million for Pilots&amp;Demos; $220,000 for Tech Asst &amp;Trng; $750,000 for PA (S&amp;E account); $50 million for Youth Fair Chance; and $6 million for the Older Workers program.  Supplemental increase of $166.5 million for Summer Youth CY 1993 program is reflected in FY 1992 funding.  Includes recissions: $30 milllion in Adult programs and $20 million in Youth programs. </t>
  </si>
  <si>
    <t>Includes $30 million for workers displaced by natural disasters (hurricanes) and $4.6 million for workers displaced by the Midwest Flood.</t>
  </si>
  <si>
    <t>Includes $187.7 million in add-on funding for the Summer Youth CY 1993 program (PY 1992).  Does not include $206 million appropriated in FY 1994 for the Summer Youth CY 1994 program (PY 1993).</t>
  </si>
  <si>
    <t>Includes $206 million in add-on funding for the Summer Youth CY 1994 program (PY 1993).</t>
  </si>
  <si>
    <t>Reflects $3 million transfer from Department of Education.</t>
  </si>
  <si>
    <t>Includes $184.8 million in add-on funding for the Summer Youth CY 1995 program (PY 1994).</t>
  </si>
  <si>
    <t>Excludes $5.6 million for Teamsters Election.</t>
  </si>
  <si>
    <t>$7 million of FY 1999 appropriation is available in Program Year 1998 for farmworker drought relief.</t>
  </si>
  <si>
    <t xml:space="preserve">Excludes $12 million available to Health and Human Services for evaluations. Reflects Congressional rescission of FY 1998 unobligated formula funds ($78,961,842). </t>
  </si>
  <si>
    <t>Reflects $1 million reprogrammed to Pilots &amp; Demos as result of audit for State of Texas.</t>
  </si>
  <si>
    <t>Includes $1.595 million from Office of Management and Budget from Y2K Contingency Emergency Fund. Also reflects rescission of $1.297 million (P.L. 106-51).</t>
  </si>
  <si>
    <t>Includes $4 million to build a facility for American Samoans.</t>
  </si>
  <si>
    <t>Pursuant to P.L. 106-554, enacted 12/21/00, includes reduction of $852,000.</t>
  </si>
  <si>
    <t>Pursuant to Consolidated Appropriations Act, 2004, P.L. 108-199, enacted 1/23/04, includes .59% across-the-board rescissions applicable to Fiscal Year 2004 advance funds appropriated in 2003:  -$4,200,800 for Adult Activities, -$5,003,200 for Dislocated Worker Formula Grants, -$1,250,800 for Dislocated Worker National Reserve, -$3,486,900 for Job Corps Operations, and -$590,000 for Job Corps Construction.</t>
  </si>
  <si>
    <t>Pursuant to Consolidated Appropriations Act,2003, P.L. 108-7, enacted 2/20/03, includes .65% across-the-board rescissions applicable to Fiscal Year 2003 advance funds appropriated in 2002: -$4,628,000 for Adult Activities, -$5,512,000 for Dislocated Worker Formula Grants, -$1,378,000 for Dislocated Worker National Reserve, -$3,841,500 for Job Corps Operations, and -$650,000 for Job Corps Construction.</t>
  </si>
  <si>
    <t>Pursuant to P.L. 107-116, enacted 1/10/02, includes reductions of $448,000.</t>
  </si>
  <si>
    <t xml:space="preserve">Reflects transfers among programs:  In TES Account:  Incentive Grants, -$4 million, Pilots, Demos, &amp; Research, -$8 million, and in SUIESO Account:  UI State Administration, +$7 million, and Foreign Labor Certification, + $5 million. Also reflects a transfer of $355,000 from WIA Technical Assistance to WIA Pilots Demos &amp; Research for $160,000 and to WIA Evaluation for $195,000.  </t>
  </si>
  <si>
    <t>Pursuant to Consolidated Appropriations Act, 2004, P.L. 108-199, enacted 1/23/04, includes reduction of $19,000, as part of the total $50 million Labor/HHS rescission.</t>
  </si>
  <si>
    <t>Pursuant to Consolidated Appropriations Act, 2005, P.L. 108-447, enacted 12/08/04, includes .80% across-the-board rescissions applicable to Fiscal Year 2005 advance funds appropriated in 2004:  -$ 5,696,000 for Adult Activities, -$6,784,000 for Dislocated Worker Formula Grants, -$1,696,000 for Dislocated Worker National Reserve, -$ 4,728,000 for Job Corps Operations, and -$800,000 for Job Corps Construction.</t>
  </si>
  <si>
    <t>a</t>
  </si>
  <si>
    <t>b</t>
  </si>
  <si>
    <t>c</t>
  </si>
  <si>
    <t>d</t>
  </si>
  <si>
    <t>e</t>
  </si>
  <si>
    <t>f</t>
  </si>
  <si>
    <t>g</t>
  </si>
  <si>
    <t>a,c</t>
  </si>
  <si>
    <t>b,c</t>
  </si>
  <si>
    <t>JTPA Summer Youth Employment &amp; Training funding by calendar year:</t>
  </si>
  <si>
    <t>U.S. Department of Labor / Employment and Training Administration</t>
  </si>
  <si>
    <t>Training and Employment Programs</t>
  </si>
  <si>
    <t>Katrina National Emerg Grants Supplemental</t>
  </si>
  <si>
    <t>Pursuant to Consolidated Appropriations Act, 2005, P.L. 108-447, enacted 12/8/04, includes .80% across-the-board Fiscal Year 2005 rescissions  applicable to discretionary funds for 2005.  Rescission is not applicable to advance funds available in Fiscal Year 2006 for Adults ($712,000,000);  Dislocated Workers Formula Grants ($848,000,000); Dislocated Workers National Reserve ($212,000,000); Job Corps Operations ($591,000,000); and  Job Corps Construction ($100,000,000).</t>
  </si>
  <si>
    <t>Pursuant to Department of Defense, Emergency Supplemental Appropriations to Address Hurricanes in the Gulf of Mexico, and Pandemic Influenza Act, 2006, P.L. 109-148, enacted 12/30/05, includes 1.0% across-the-board Fiscal Year 2006 rescissions applicable to Fiscal Year 2006 advance funds appropriated in 2005: -$7,120,000 for Adult Activities, -$8,480,000 for Dislocated Worker Formula Grants; -$870,000 for Dislocated Worker National Reserve; -$5,910,000 for Job Corps Operations; and -$1,000,000 for Job Corps Construction.</t>
  </si>
  <si>
    <t>Pursuant to Consolidated Appropriations Act, 2005, P.L. 108-447, enacted 12/8/04, includes reduction of $1,000,720 for Job Corps Operations, as part of the total $18 million Labor/HHS/Educ rescission.</t>
  </si>
  <si>
    <t>Footnotes (Footnotes are labeled within each respective year.)</t>
  </si>
  <si>
    <t>(Footnotes by year are in separate page.)</t>
  </si>
  <si>
    <t>b,e</t>
  </si>
  <si>
    <t>Reflects a rescission of $125,000,000 pursuant to Departments of Labor, Health and Human Services, and Education, and Related Agencies Appropriations Act, 2006, P.L. 109-149, enacted 12/30/05.</t>
  </si>
  <si>
    <t>FY 2006</t>
  </si>
  <si>
    <t>b, c</t>
  </si>
  <si>
    <t>Pursuant to P.L. 110-161, enacted 12/26/07, includes a reduction of $44,000.</t>
  </si>
  <si>
    <t>Youthbuild</t>
  </si>
  <si>
    <t>b, e</t>
  </si>
  <si>
    <t>Departments of Labor, Health and Human Services, and Education, and Related Agencies Appropriations Act, 2006, P.L. 109-149, enacted 12/31/05.</t>
  </si>
  <si>
    <t>Pursuant to legal interpretation of Revised Continuing Appropriations Resolution, 2007, P.L. 110-5, enacted 2/15/07, includes 1.0% across-the-board rescissions applicable to Fiscal Year 2007 advance funds appropriated in 2006: -$7,120,000 for Adult Activities, -$8,480,000 for Dislocated Worker Formula Grants; -$2,120,000 for Dislocated Worker National Reserve; -$5,910,000 for Job Corps Operations; and -$1,000,000 for Job Corps Construction.</t>
  </si>
  <si>
    <r>
      <t>Per</t>
    </r>
    <r>
      <rPr>
        <sz val="10"/>
        <color indexed="8"/>
        <rFont val="Times New Roman"/>
        <family val="1"/>
      </rPr>
      <t xml:space="preserve"> Department of Defense, Emergency Supplemental Appropriations to Address Hurricanes in the Gulf of Mexico, and Pandemic Influenza Act, 2006, P.L. 109-148, enacted 12/31/05.</t>
    </r>
  </si>
  <si>
    <t>Per Emergency Supplemental Appropriations Act for Defense, the Global War on Terror, and Hurricane Recovery, 2006, P.L. 109-234, enacted 6/15/2006, includes $16 million for Hurricane Katrina.</t>
  </si>
  <si>
    <t>(Each year reflects any subsequent changes to that year, e.g., supplementals, rescissions, or transfers of budget authority)</t>
  </si>
  <si>
    <t xml:space="preserve">Pursuant to the 2001 Emergency Supplemental Appropriations Act for Recovery from and Response to Terrorist Attacks on the United States, P.L. 107-38, enacted 9/18/01.  Pursuant to P.L. 110-28, enacted 5/25/07, includes reduction of $3,589,000.  </t>
  </si>
  <si>
    <t xml:space="preserve">Pursuant to the 2001 Emergency Supplemental Appropriations Act, P.L. 107-38, enacted 9/18/01, as set forth in Title IX, Division B, Chapter 8 of the Department of Defense Appropriations Act, 2002, P.L. 107-117, enacted 1/10/02, $32,500,000 in Pilots, Demos, and Research, and $175,000,000 for Workers Compensation Programs.   Pursuant to P.L. 110-28, enacted 5/25/07, includes reduction of $71,000 for the Consortium for Worker Education in P.L. 107-117.  </t>
  </si>
  <si>
    <t>FY 2007</t>
  </si>
  <si>
    <t>Job Corps Operations reflects an additional amount as a result fo the salary provision in the Full Year Continuing Resolution. The Job Corps program is administered outside of ETA by the Office of Job Corps under the Secretary of Labor.</t>
  </si>
  <si>
    <t>Revised Continuing Appropriations Resolution, 2007, P.L. 110-5, enacted 2/15/2007.</t>
  </si>
  <si>
    <t>Pursuant  to Consolidated Appropriations Act, 2008, P.L. 110-161, enacted 12/26/07, includes 1.747% across-the-board Fiscal Year 2008 rescissions applicable to Fiscal Year 2008 advance funds appropriated in 2007: -$12,438,640 for Adult Activities, -$14,814,560 for Dislocated Worker Formula Grants, -$3,703,640 for Dislocated Worker National Reserve, -$43,028,610 for Youth Activities, -$10,324,770 for Job Corps Operations, and -1,747,000 for Job Corps Construction.</t>
  </si>
  <si>
    <t>Includes a portion of the $250 million rescission enacted 12/26/07 in the Consolidated Appropriations Act, 2008, P.L. 110-161, applicable to  WIA Youth (-$11,783,797), WIA Adults (-$16,490,176), and WIA Dislocated Workers (-$57,754,707) funds for 2006, as elected by the States.  For remaining portions of the rescission, see FY 2005 and FY 2007.</t>
  </si>
  <si>
    <t>Includes a portion of the $250 million rescission enacted 12/26/07 in the Consolidated Appropriations Act, 2008, P.L. 110-161, applicable to  WIA Youth (-$25,069,684), WIA Adults (-$25,655,796), and WIA Dislocated Workers (-$62,950,680) funds for 2007, as elected by the States.  For remaining portions of the rescission, see FY 2005 and FY 2006.</t>
  </si>
  <si>
    <t>Includes a portion of the $250 million rescission enacted 12/26/07 in the Consolidated Appropriations Act, 2008, P.L. 110-161, applicable to  WIA Youth (-5,487,416), WIA Adults (-$7,012,040), and WIA Dislocated Workers (-$37,795,704) funds for 2005, as elected by the States.  For remaining portions of the rescission as elected by States, see FY 2006 and FY 2007.</t>
  </si>
  <si>
    <t>FY 2008</t>
  </si>
  <si>
    <t>Original Appropriation: Consolidated Appropriations Act, 2008, P.L. 110-161, 12/26/2007, including the across-the-board rescission of 1.747% applicable to discretionary funds appropriated in 2008.</t>
  </si>
  <si>
    <t>Job Corps funding moved from ETA to Departmental Management.</t>
  </si>
  <si>
    <t>Reflect $50,000 transferred from SUIESO ES National Activities TAT to CSEOA as an emergency transfer of funds.</t>
  </si>
  <si>
    <t>FY 2009</t>
  </si>
  <si>
    <t>Responsible Reint for Young Offenders/Ex-Offenders</t>
  </si>
  <si>
    <t xml:space="preserve"> H-1B Skill Training Grants are not appropriated but funded through employer fees.  Actual funding varies as fees are collected and made available to the Department of Labor.</t>
  </si>
  <si>
    <t>The Consolidated Appropriations Act , 2008, P.L. 110-161 combined funding for Reintegration of Youthful Ex-Offenders and the Prisoner Reentry Program into funding for Reintegration of Ex-Offenders.</t>
  </si>
  <si>
    <t>ARRA</t>
  </si>
  <si>
    <t>High Growth - Green Jobs</t>
  </si>
  <si>
    <t>High Growth and Emerging Industries</t>
  </si>
  <si>
    <t>Original Appropriation:  American Recovery and Reinvestment Act 2009, P.L. 111-5, 2/17/2009; as revised by Supplemental Appropriations Act, 2009, P.L. 111-32, 6/24/2009.  Reflects authorization to set aside one percent of appropriated amount for program administration.</t>
  </si>
  <si>
    <t>FY 2010</t>
  </si>
  <si>
    <t>Expenses</t>
  </si>
  <si>
    <t>Green Jobs</t>
  </si>
  <si>
    <t>Original Appropriation: Omnibus Appropriation Act, 2010, P.L. 111-117, 12/16/2009</t>
  </si>
  <si>
    <t>Pursuant to Full-Year Continuing Appropriation Act, 2011, P.L. 112-10, enacted 4/15/11, $125,000,000 is rescinded from the Career Pathways Innovation Fund.</t>
  </si>
  <si>
    <t>Workforce Data Quality Initiative</t>
  </si>
  <si>
    <t>JOB CORPS</t>
  </si>
  <si>
    <t xml:space="preserve">     Operations</t>
  </si>
  <si>
    <t xml:space="preserve">     Construction </t>
  </si>
  <si>
    <t xml:space="preserve">     Expenses</t>
  </si>
  <si>
    <t>b f</t>
  </si>
  <si>
    <t xml:space="preserve">Pursuant to the Continuing Appropriations Act, 2011, $75,000,000 in unobligated balances was rescinded from funds available for Departmental Management.  Of this, Job Corps Construction funds were rescinded in the amount of $4,950,000.  Construction funds also reflect $50,000 transferred to EBSA in FY 2010 and $26,197,500 transfered to Job Corps Operations funding for FY 2011.  </t>
  </si>
  <si>
    <t>New appropriation in the Omnibus Appropriation Act, 2010, P.L. 111-117, 12/16/2009</t>
  </si>
  <si>
    <t xml:space="preserve">Per P.L. 111-117, the administration of the Job Corps program shall be transferred from the Office of the Secretary to the Employment and Training Administration.  However, Job Corps funding is no longer appropriated within the TES account, but has its own appropriation account.  </t>
  </si>
  <si>
    <t>FY 2011</t>
  </si>
  <si>
    <t>Workforce Innovation Fund</t>
  </si>
  <si>
    <t>TAA COMMUNITY COLLEGE AND CAREER TRAINING GRANT FUND</t>
  </si>
  <si>
    <t>Original Appropriation: Full-Year Continuing Appropriations Act, 2011, P.L. 112-10, 4/15/2009, which included a 0.2% across-the-board rescission of FY 2011 discretionary funds (not applicable to FY 2012 "advance" funds).</t>
  </si>
  <si>
    <r>
      <rPr>
        <sz val="10"/>
        <rFont val="Arial"/>
        <family val="2"/>
      </rPr>
      <t xml:space="preserve">Original Appropriation:  Omnibus Appropriation Act, 2009, P.L. 111-8, 3/11/2009 </t>
    </r>
  </si>
  <si>
    <t>Pursuant to Full-Year Continuing Appropriation Act, 2011, P.L. 112-10, enacted 4/15/11, includes a 0.2% across-the-board rescission to Fiscal Year (FY) 2011 discretionary funds, applicable to FY 2011 "advance" funds appropriate in 2010.</t>
  </si>
  <si>
    <t>Pursuant to the Consolidated Appropriation Act, 2012, P.L. 112-74, includes a 0.189% rescission to all FY 2012 discretionary funds, including the FY 2012 "advance" funds appropriated in 2011.</t>
  </si>
  <si>
    <t>Reflects the transfer of $2,237,336 from Dislocated Worker National Reserve funds appropriated in FY 2011 to Job Corps Operations.</t>
  </si>
  <si>
    <t xml:space="preserve"> In 2009, the American Recovery and Reinvestment Act amended the Trade Act of 1974 to authorize the Trade Adjustment Assistance Community College and Career Training (TAACCCT) Grant Program. On March 30, 2010, President Barack Obama signed the Health Care and Education Reconciliation Act, which included $2 billion over four years to fund the TAACCCT program.</t>
  </si>
  <si>
    <t>Reflects the addition to Job Corps Operations of $2,237,336 from Dislocated Worker National Reserve funds appropriated in FY 2011, $26,197,500 from Job Corps Construction funding appropriated in FY 2010, and $851,000 from the sale of a Job Corps Center.  The $851,000 are "X" year funds which do not expire.</t>
  </si>
  <si>
    <t>b e</t>
  </si>
  <si>
    <t>b c</t>
  </si>
  <si>
    <t>FY 2012</t>
  </si>
  <si>
    <r>
      <t>Original</t>
    </r>
    <r>
      <rPr>
        <sz val="10"/>
        <color indexed="8"/>
        <rFont val="Times New Roman"/>
        <family val="1"/>
      </rPr>
      <t xml:space="preserve"> Appropriation: Consolidated Appropritations Act, 2012, P.L. 112-74, enacted 12/23/11, includes a  0.189</t>
    </r>
    <r>
      <rPr>
        <sz val="10"/>
        <rFont val="Times New Roman"/>
        <family val="1"/>
      </rPr>
      <t>% across-the-board rescission on FY 2012 discretionary funds.</t>
    </r>
  </si>
  <si>
    <t>Updated: 04/14/2014</t>
  </si>
  <si>
    <t>ETA chose to take the full amount of the FY 2013 sequestration and 0.2 percent rescission impacting the Dislocated Worker (DW) National Reserve Account (NRA) from the DW NRA Demonstration Advance funds for FY 2013, which are reflected here under the budget authority from the FY 2012 Appropriation.</t>
  </si>
  <si>
    <t>Reflects the transfer of $2 million from Dislocated Worker NRA Demonstration funds (period of availability 7/1/13-6/30/14) and $8 million from Dislocated Worker NRA Demonstration funds (period of availability 10/1/13-6/30/14) to Job Corps Operations.</t>
  </si>
  <si>
    <t>FY 2013</t>
  </si>
  <si>
    <t>Hurricane Sandy Disaster Relief NEG</t>
  </si>
  <si>
    <t>Hurricane Sandy Disaster Relief Appropriations Act, 2013 (PL 113-2 enacted on January 29, 2013) provides the Department of Labor with $25,000,000, which is subject to sequestration.  Includes a $2,250,000 tranfer to OSHA and $1,002,000 transfer to WHD.</t>
  </si>
  <si>
    <t>ETA absorbed the full amount of the sequestration and 0.2 percent rescission impacting the regular Dislocated Worker (DW) National Reserve Account (NRA) for FY 2013 (excluding Hurricane Sandy Disaster Relief funds) from the DW NRA Demonstration funds "Advance" for FY 2013 (funds made available October 1, 2012), which were appropriated in the FY 2012 Appropriation.</t>
  </si>
  <si>
    <t>Summary of Budget Authority, FY 1984 to 2013, By Year of Appropriation</t>
  </si>
  <si>
    <t>Updated: 03/24/15</t>
  </si>
  <si>
    <t>Original Appropriation: Consolidated and Further Continuing Appropriations Act, 2013, P.L. 113-6, enacted 03/26/13, includes a  0.2% across-the-board rescission on FY 2013 discretionary funds.  All discretionary and mandatory funding for FY 2013 was further reduced by the sequestration order required by section 251A of the Balanced Budget and Emergency Deficit Control Act, as amended.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</si>
</sst>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_);\(#,##0.0\)"/>
    <numFmt numFmtId="166" formatCode="0.0%"/>
  </numFmts>
  <fonts count="45">
    <font>
      <sz val="10"/>
      <name val="Courier"/>
      <family val="0"/>
    </font>
    <font>
      <sz val="10"/>
      <name val="Arial"/>
      <family val="0"/>
    </font>
    <font>
      <u val="single"/>
      <sz val="10"/>
      <color indexed="12"/>
      <name val="Courier"/>
      <family val="3"/>
    </font>
    <font>
      <u val="single"/>
      <sz val="10"/>
      <color indexed="36"/>
      <name val="Courier"/>
      <family val="3"/>
    </font>
    <font>
      <sz val="10"/>
      <name val="Times New Roman"/>
      <family val="1"/>
    </font>
    <font>
      <b/>
      <sz val="10"/>
      <name val="Times New Roman"/>
      <family val="1"/>
    </font>
    <font>
      <sz val="9"/>
      <name val="Times New Roman"/>
      <family val="1"/>
    </font>
    <font>
      <b/>
      <sz val="9"/>
      <name val="Times New Roman"/>
      <family val="1"/>
    </font>
    <font>
      <b/>
      <sz val="11"/>
      <name val="Times New Roman"/>
      <family val="1"/>
    </font>
    <font>
      <i/>
      <sz val="9"/>
      <name val="Times New Roman"/>
      <family val="1"/>
    </font>
    <font>
      <sz val="10"/>
      <color indexed="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2">
    <xf numFmtId="0" fontId="0" fillId="0" borderId="0" xfId="0" applyAlignment="1">
      <alignment/>
    </xf>
    <xf numFmtId="0" fontId="4" fillId="0" borderId="0" xfId="0" applyFont="1" applyFill="1" applyBorder="1" applyAlignment="1">
      <alignment/>
    </xf>
    <xf numFmtId="0" fontId="4" fillId="0" borderId="0" xfId="0" applyFont="1" applyFill="1" applyBorder="1" applyAlignment="1">
      <alignment horizontal="left"/>
    </xf>
    <xf numFmtId="0" fontId="4" fillId="0" borderId="0" xfId="0" applyFont="1" applyBorder="1" applyAlignment="1">
      <alignment/>
    </xf>
    <xf numFmtId="0" fontId="4" fillId="0" borderId="0" xfId="0" applyFont="1" applyFill="1" applyBorder="1" applyAlignment="1" applyProtection="1">
      <alignment horizontal="left"/>
      <protection/>
    </xf>
    <xf numFmtId="0" fontId="5" fillId="33" borderId="10" xfId="0" applyFont="1" applyFill="1" applyBorder="1" applyAlignment="1">
      <alignment/>
    </xf>
    <xf numFmtId="0" fontId="5" fillId="33" borderId="11" xfId="0" applyFont="1" applyFill="1" applyBorder="1" applyAlignment="1">
      <alignment/>
    </xf>
    <xf numFmtId="0" fontId="4" fillId="0" borderId="12" xfId="0" applyFont="1" applyFill="1" applyBorder="1" applyAlignment="1">
      <alignment/>
    </xf>
    <xf numFmtId="0" fontId="4" fillId="0" borderId="12" xfId="0" applyFont="1" applyFill="1" applyBorder="1" applyAlignment="1">
      <alignment horizontal="left"/>
    </xf>
    <xf numFmtId="0" fontId="5" fillId="33" borderId="13" xfId="0" applyFont="1" applyFill="1" applyBorder="1" applyAlignment="1" applyProtection="1">
      <alignment horizontal="center"/>
      <protection/>
    </xf>
    <xf numFmtId="0" fontId="5" fillId="33" borderId="14" xfId="0" applyFont="1" applyFill="1" applyBorder="1" applyAlignment="1">
      <alignment/>
    </xf>
    <xf numFmtId="0" fontId="4" fillId="0" borderId="15" xfId="0" applyFont="1" applyFill="1" applyBorder="1" applyAlignment="1">
      <alignment/>
    </xf>
    <xf numFmtId="37" fontId="4" fillId="0" borderId="15" xfId="0" applyNumberFormat="1" applyFont="1" applyFill="1" applyBorder="1" applyAlignment="1" applyProtection="1">
      <alignment/>
      <protection/>
    </xf>
    <xf numFmtId="0" fontId="4" fillId="0" borderId="16" xfId="0" applyFont="1" applyFill="1" applyBorder="1" applyAlignment="1">
      <alignment/>
    </xf>
    <xf numFmtId="0" fontId="4" fillId="0" borderId="16" xfId="0" applyFont="1" applyFill="1" applyBorder="1" applyAlignment="1">
      <alignment horizontal="left"/>
    </xf>
    <xf numFmtId="0" fontId="5" fillId="0" borderId="16" xfId="0" applyFont="1" applyFill="1" applyBorder="1" applyAlignment="1">
      <alignment/>
    </xf>
    <xf numFmtId="37" fontId="4" fillId="0" borderId="16" xfId="0" applyNumberFormat="1" applyFont="1" applyFill="1" applyBorder="1" applyAlignment="1" applyProtection="1">
      <alignment/>
      <protection/>
    </xf>
    <xf numFmtId="37" fontId="4" fillId="0" borderId="16" xfId="0" applyNumberFormat="1" applyFont="1" applyFill="1" applyBorder="1" applyAlignment="1" applyProtection="1">
      <alignment horizontal="left"/>
      <protection/>
    </xf>
    <xf numFmtId="0" fontId="4" fillId="0" borderId="16" xfId="0" applyFont="1" applyFill="1" applyBorder="1" applyAlignment="1" applyProtection="1">
      <alignment horizontal="left"/>
      <protection/>
    </xf>
    <xf numFmtId="37" fontId="4" fillId="0" borderId="16" xfId="0" applyNumberFormat="1" applyFont="1" applyFill="1" applyBorder="1" applyAlignment="1" applyProtection="1">
      <alignment horizontal="right"/>
      <protection/>
    </xf>
    <xf numFmtId="0" fontId="5" fillId="0" borderId="15" xfId="0" applyFont="1" applyFill="1" applyBorder="1" applyAlignment="1">
      <alignment/>
    </xf>
    <xf numFmtId="37" fontId="4" fillId="0" borderId="16" xfId="0" applyNumberFormat="1" applyFont="1" applyFill="1" applyBorder="1" applyAlignment="1" applyProtection="1" quotePrefix="1">
      <alignment horizontal="right"/>
      <protection/>
    </xf>
    <xf numFmtId="0" fontId="5" fillId="0" borderId="12" xfId="0" applyFont="1" applyFill="1" applyBorder="1" applyAlignment="1" applyProtection="1">
      <alignment horizontal="center"/>
      <protection/>
    </xf>
    <xf numFmtId="0" fontId="5" fillId="0" borderId="0" xfId="0" applyFont="1" applyFill="1" applyBorder="1" applyAlignment="1">
      <alignment/>
    </xf>
    <xf numFmtId="0" fontId="5" fillId="0" borderId="0" xfId="0" applyFont="1" applyFill="1" applyBorder="1" applyAlignment="1" applyProtection="1">
      <alignment horizontal="left"/>
      <protection/>
    </xf>
    <xf numFmtId="0" fontId="5" fillId="0" borderId="0" xfId="0" applyFont="1" applyFill="1" applyBorder="1" applyAlignment="1">
      <alignment horizontal="left"/>
    </xf>
    <xf numFmtId="0" fontId="5" fillId="0" borderId="12" xfId="0" applyFont="1" applyFill="1" applyBorder="1" applyAlignment="1">
      <alignment/>
    </xf>
    <xf numFmtId="37" fontId="5" fillId="0" borderId="15" xfId="0" applyNumberFormat="1" applyFont="1" applyFill="1" applyBorder="1" applyAlignment="1" applyProtection="1">
      <alignment/>
      <protection/>
    </xf>
    <xf numFmtId="37" fontId="5" fillId="0" borderId="15" xfId="0" applyNumberFormat="1" applyFont="1" applyFill="1" applyBorder="1" applyAlignment="1" applyProtection="1">
      <alignment horizontal="left"/>
      <protection/>
    </xf>
    <xf numFmtId="0" fontId="7" fillId="0" borderId="0" xfId="0" applyFont="1" applyFill="1" applyBorder="1" applyAlignment="1">
      <alignment/>
    </xf>
    <xf numFmtId="37" fontId="6" fillId="0" borderId="0" xfId="0" applyNumberFormat="1" applyFont="1" applyFill="1" applyBorder="1" applyAlignment="1" applyProtection="1">
      <alignment horizontal="left" vertical="top"/>
      <protection/>
    </xf>
    <xf numFmtId="37" fontId="4" fillId="0" borderId="0" xfId="0" applyNumberFormat="1" applyFont="1" applyFill="1" applyBorder="1" applyAlignment="1" applyProtection="1">
      <alignment/>
      <protection/>
    </xf>
    <xf numFmtId="37" fontId="4" fillId="0" borderId="0" xfId="0" applyNumberFormat="1" applyFont="1" applyFill="1" applyBorder="1" applyAlignment="1" applyProtection="1">
      <alignment horizontal="left"/>
      <protection/>
    </xf>
    <xf numFmtId="37" fontId="4" fillId="0" borderId="0" xfId="0" applyNumberFormat="1" applyFont="1" applyFill="1" applyBorder="1" applyAlignment="1" applyProtection="1">
      <alignment horizontal="left" vertical="top"/>
      <protection/>
    </xf>
    <xf numFmtId="0" fontId="4" fillId="0" borderId="0" xfId="0" applyFont="1" applyFill="1" applyBorder="1" applyAlignment="1">
      <alignment vertical="top"/>
    </xf>
    <xf numFmtId="0" fontId="5" fillId="0" borderId="0" xfId="0" applyFont="1" applyFill="1" applyBorder="1" applyAlignment="1">
      <alignment horizontal="left" vertical="top"/>
    </xf>
    <xf numFmtId="37" fontId="4" fillId="0" borderId="0" xfId="0" applyNumberFormat="1" applyFont="1" applyFill="1" applyBorder="1" applyAlignment="1" applyProtection="1">
      <alignment vertical="top"/>
      <protection/>
    </xf>
    <xf numFmtId="0" fontId="4" fillId="0" borderId="0" xfId="0" applyFont="1" applyFill="1" applyBorder="1" applyAlignment="1">
      <alignment horizontal="left" vertical="top" wrapText="1"/>
    </xf>
    <xf numFmtId="0" fontId="5" fillId="0" borderId="0" xfId="0" applyFont="1" applyFill="1" applyBorder="1" applyAlignment="1">
      <alignment horizontal="center" vertical="top"/>
    </xf>
    <xf numFmtId="37" fontId="5" fillId="0" borderId="0" xfId="0" applyNumberFormat="1" applyFont="1" applyFill="1" applyBorder="1" applyAlignment="1" applyProtection="1">
      <alignment horizontal="center" vertical="top"/>
      <protection/>
    </xf>
    <xf numFmtId="0" fontId="5" fillId="0" borderId="0" xfId="0" applyFont="1" applyFill="1" applyBorder="1" applyAlignment="1" applyProtection="1">
      <alignment horizontal="center" vertical="top"/>
      <protection/>
    </xf>
    <xf numFmtId="0" fontId="8" fillId="0" borderId="0" xfId="0" applyFont="1" applyFill="1" applyBorder="1" applyAlignment="1">
      <alignment/>
    </xf>
    <xf numFmtId="37" fontId="7" fillId="0" borderId="0" xfId="0" applyNumberFormat="1" applyFont="1" applyFill="1" applyBorder="1" applyAlignment="1" applyProtection="1">
      <alignment horizontal="right" vertical="top"/>
      <protection/>
    </xf>
    <xf numFmtId="37" fontId="5" fillId="0" borderId="16" xfId="0" applyNumberFormat="1" applyFont="1" applyFill="1" applyBorder="1" applyAlignment="1" applyProtection="1">
      <alignment/>
      <protection/>
    </xf>
    <xf numFmtId="37" fontId="5" fillId="0" borderId="16" xfId="0" applyNumberFormat="1" applyFont="1" applyFill="1" applyBorder="1" applyAlignment="1" applyProtection="1">
      <alignment horizontal="left"/>
      <protection/>
    </xf>
    <xf numFmtId="37" fontId="5" fillId="0" borderId="16" xfId="0" applyNumberFormat="1" applyFont="1" applyFill="1" applyBorder="1" applyAlignment="1" applyProtection="1" quotePrefix="1">
      <alignment horizontal="right"/>
      <protection/>
    </xf>
    <xf numFmtId="37" fontId="5" fillId="0" borderId="16" xfId="0" applyNumberFormat="1" applyFont="1" applyFill="1" applyBorder="1" applyAlignment="1" applyProtection="1">
      <alignment horizontal="right"/>
      <protection/>
    </xf>
    <xf numFmtId="0" fontId="5" fillId="0" borderId="16" xfId="0" applyFont="1" applyFill="1" applyBorder="1" applyAlignment="1" applyProtection="1">
      <alignment horizontal="left"/>
      <protection/>
    </xf>
    <xf numFmtId="14" fontId="6" fillId="0" borderId="0" xfId="0" applyNumberFormat="1" applyFont="1" applyFill="1" applyBorder="1" applyAlignment="1" quotePrefix="1">
      <alignment/>
    </xf>
    <xf numFmtId="0" fontId="9" fillId="0" borderId="0" xfId="0" applyFont="1" applyFill="1" applyBorder="1" applyAlignment="1">
      <alignment/>
    </xf>
    <xf numFmtId="0" fontId="4" fillId="0" borderId="17" xfId="0" applyFont="1" applyFill="1" applyBorder="1" applyAlignment="1">
      <alignment/>
    </xf>
    <xf numFmtId="0" fontId="4" fillId="0" borderId="17" xfId="0" applyFont="1" applyFill="1" applyBorder="1" applyAlignment="1">
      <alignment horizontal="left"/>
    </xf>
    <xf numFmtId="37" fontId="4" fillId="0" borderId="15" xfId="0" applyNumberFormat="1" applyFont="1" applyFill="1" applyBorder="1" applyAlignment="1" applyProtection="1">
      <alignment horizontal="left"/>
      <protection/>
    </xf>
    <xf numFmtId="0" fontId="5" fillId="0" borderId="0" xfId="0" applyFont="1" applyFill="1" applyBorder="1" applyAlignment="1" quotePrefix="1">
      <alignment/>
    </xf>
    <xf numFmtId="37" fontId="7" fillId="0" borderId="0" xfId="0" applyNumberFormat="1" applyFont="1" applyFill="1" applyBorder="1" applyAlignment="1" applyProtection="1">
      <alignment horizontal="center" vertical="top"/>
      <protection/>
    </xf>
    <xf numFmtId="37" fontId="4" fillId="0" borderId="0" xfId="0" applyNumberFormat="1" applyFont="1" applyBorder="1" applyAlignment="1">
      <alignment/>
    </xf>
    <xf numFmtId="0" fontId="4" fillId="34" borderId="0" xfId="0" applyFont="1" applyFill="1" applyBorder="1" applyAlignment="1">
      <alignment/>
    </xf>
    <xf numFmtId="37" fontId="4" fillId="34" borderId="16" xfId="0" applyNumberFormat="1" applyFont="1" applyFill="1" applyBorder="1" applyAlignment="1" applyProtection="1" quotePrefix="1">
      <alignment horizontal="right"/>
      <protection/>
    </xf>
    <xf numFmtId="37" fontId="4" fillId="34" borderId="16" xfId="0" applyNumberFormat="1" applyFont="1" applyFill="1" applyBorder="1" applyAlignment="1" applyProtection="1">
      <alignment horizontal="left"/>
      <protection/>
    </xf>
    <xf numFmtId="37" fontId="4" fillId="34" borderId="16" xfId="0" applyNumberFormat="1" applyFont="1" applyFill="1" applyBorder="1" applyAlignment="1" applyProtection="1">
      <alignment/>
      <protection/>
    </xf>
    <xf numFmtId="37" fontId="4" fillId="34" borderId="16" xfId="0" applyNumberFormat="1" applyFont="1" applyFill="1" applyBorder="1" applyAlignment="1" applyProtection="1">
      <alignment horizontal="right"/>
      <protection/>
    </xf>
    <xf numFmtId="0" fontId="5" fillId="34" borderId="12" xfId="0" applyFont="1" applyFill="1" applyBorder="1" applyAlignment="1" applyProtection="1">
      <alignment horizontal="center"/>
      <protection/>
    </xf>
    <xf numFmtId="37" fontId="5" fillId="34" borderId="16" xfId="0" applyNumberFormat="1" applyFont="1" applyFill="1" applyBorder="1" applyAlignment="1" applyProtection="1">
      <alignment/>
      <protection/>
    </xf>
    <xf numFmtId="37" fontId="4" fillId="0" borderId="17" xfId="0" applyNumberFormat="1" applyFont="1" applyFill="1" applyBorder="1" applyAlignment="1" applyProtection="1" quotePrefix="1">
      <alignment horizontal="right"/>
      <protection/>
    </xf>
    <xf numFmtId="37" fontId="5" fillId="0" borderId="15" xfId="0" applyNumberFormat="1" applyFont="1" applyFill="1" applyBorder="1" applyAlignment="1" applyProtection="1" quotePrefix="1">
      <alignment horizontal="right"/>
      <protection/>
    </xf>
    <xf numFmtId="0" fontId="4" fillId="0" borderId="0" xfId="0" applyFont="1" applyFill="1" applyBorder="1" applyAlignment="1" applyProtection="1">
      <alignment horizontal="right"/>
      <protection/>
    </xf>
    <xf numFmtId="5" fontId="4" fillId="0" borderId="0" xfId="0" applyNumberFormat="1" applyFont="1" applyFill="1" applyBorder="1" applyAlignment="1" applyProtection="1">
      <alignment/>
      <protection/>
    </xf>
    <xf numFmtId="0" fontId="5" fillId="0" borderId="12" xfId="0" applyFont="1" applyFill="1" applyBorder="1" applyAlignment="1" applyProtection="1">
      <alignment horizontal="center"/>
      <protection/>
    </xf>
    <xf numFmtId="0" fontId="7" fillId="0" borderId="0" xfId="0" applyFont="1" applyFill="1" applyBorder="1" applyAlignment="1" applyProtection="1">
      <alignment horizontal="left"/>
      <protection/>
    </xf>
    <xf numFmtId="0" fontId="4" fillId="0" borderId="0" xfId="0" applyFont="1" applyFill="1" applyBorder="1" applyAlignment="1">
      <alignment horizontal="left" vertical="top" wrapText="1"/>
    </xf>
    <xf numFmtId="0" fontId="4" fillId="0" borderId="0" xfId="0" applyFont="1" applyFill="1" applyBorder="1" applyAlignment="1">
      <alignment wrapText="1"/>
    </xf>
    <xf numFmtId="0" fontId="4" fillId="0"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BU94"/>
  <sheetViews>
    <sheetView showGridLines="0" tabSelected="1" zoomScale="88" zoomScaleNormal="88" workbookViewId="0" topLeftCell="A1">
      <pane xSplit="5" ySplit="11" topLeftCell="AE12" activePane="bottomRight" state="frozen"/>
      <selection pane="topLeft" activeCell="A1" sqref="A1"/>
      <selection pane="topRight" activeCell="F1" sqref="F1"/>
      <selection pane="bottomLeft" activeCell="A1" sqref="A1"/>
      <selection pane="bottomRight" activeCell="A1" sqref="A1"/>
    </sheetView>
  </sheetViews>
  <sheetFormatPr defaultColWidth="5.625" defaultRowHeight="12.75"/>
  <cols>
    <col min="1" max="1" width="3.625" style="1" customWidth="1"/>
    <col min="2" max="4" width="2.625" style="1" customWidth="1"/>
    <col min="5" max="5" width="33.00390625" style="1" customWidth="1"/>
    <col min="6" max="6" width="11.75390625" style="1" customWidth="1"/>
    <col min="7" max="7" width="3.625" style="1" customWidth="1"/>
    <col min="8" max="8" width="12.125" style="1" bestFit="1" customWidth="1"/>
    <col min="9" max="9" width="3.625" style="1" customWidth="1"/>
    <col min="10" max="10" width="12.25390625" style="1" bestFit="1" customWidth="1"/>
    <col min="11" max="11" width="3.625" style="1" customWidth="1"/>
    <col min="12" max="12" width="12.25390625" style="1" bestFit="1" customWidth="1"/>
    <col min="13" max="13" width="3.625" style="1" customWidth="1"/>
    <col min="14" max="14" width="12.25390625" style="1" bestFit="1" customWidth="1"/>
    <col min="15" max="15" width="3.625" style="1" customWidth="1"/>
    <col min="16" max="16" width="11.875" style="1" bestFit="1" customWidth="1"/>
    <col min="17" max="17" width="1.875" style="1" bestFit="1" customWidth="1"/>
    <col min="18" max="18" width="11.875" style="1" bestFit="1" customWidth="1"/>
    <col min="19" max="19" width="1.875" style="1" bestFit="1" customWidth="1"/>
    <col min="20" max="20" width="12.125" style="1" bestFit="1" customWidth="1"/>
    <col min="21" max="21" width="2.125" style="1" customWidth="1"/>
    <col min="22" max="22" width="12.25390625" style="1" customWidth="1"/>
    <col min="23" max="23" width="1.875" style="1" bestFit="1" customWidth="1"/>
    <col min="24" max="24" width="12.375" style="1" customWidth="1"/>
    <col min="25" max="25" width="3.625" style="1" customWidth="1"/>
    <col min="26" max="26" width="11.625" style="1" customWidth="1"/>
    <col min="27" max="27" width="1.875" style="1" bestFit="1" customWidth="1"/>
    <col min="28" max="28" width="12.625" style="1" customWidth="1"/>
    <col min="29" max="29" width="1.875" style="1" bestFit="1" customWidth="1"/>
    <col min="30" max="30" width="12.00390625" style="1" bestFit="1" customWidth="1"/>
    <col min="31" max="31" width="1.875" style="1" bestFit="1" customWidth="1"/>
    <col min="32" max="32" width="12.50390625" style="1" bestFit="1" customWidth="1"/>
    <col min="33" max="33" width="1.875" style="1" bestFit="1" customWidth="1"/>
    <col min="34" max="34" width="12.00390625" style="1" bestFit="1" customWidth="1"/>
    <col min="35" max="35" width="1.875" style="1" bestFit="1" customWidth="1"/>
    <col min="36" max="36" width="11.875" style="1" bestFit="1" customWidth="1"/>
    <col min="37" max="37" width="1.875" style="1" bestFit="1" customWidth="1"/>
    <col min="38" max="38" width="12.625" style="1" bestFit="1" customWidth="1"/>
    <col min="39" max="39" width="2.875" style="1" bestFit="1" customWidth="1"/>
    <col min="40" max="40" width="12.125" style="1" bestFit="1" customWidth="1"/>
    <col min="41" max="41" width="2.875" style="1" bestFit="1" customWidth="1"/>
    <col min="42" max="42" width="12.50390625" style="1" bestFit="1" customWidth="1"/>
    <col min="43" max="43" width="2.875" style="1" bestFit="1" customWidth="1"/>
    <col min="44" max="44" width="12.50390625" style="1" bestFit="1" customWidth="1"/>
    <col min="45" max="45" width="3.00390625" style="1" bestFit="1" customWidth="1"/>
    <col min="46" max="46" width="12.375" style="1" bestFit="1" customWidth="1"/>
    <col min="47" max="47" width="2.75390625" style="1" bestFit="1" customWidth="1"/>
    <col min="48" max="48" width="11.875" style="1" bestFit="1" customWidth="1"/>
    <col min="49" max="49" width="2.625" style="2" customWidth="1"/>
    <col min="50" max="50" width="12.25390625" style="1" bestFit="1" customWidth="1"/>
    <col min="51" max="51" width="2.875" style="2" bestFit="1" customWidth="1"/>
    <col min="52" max="52" width="13.00390625" style="1" hidden="1" customWidth="1"/>
    <col min="53" max="53" width="5.875" style="1" hidden="1" customWidth="1"/>
    <col min="54" max="54" width="12.25390625" style="3" customWidth="1"/>
    <col min="55" max="55" width="3.375" style="3" customWidth="1"/>
    <col min="56" max="56" width="11.625" style="3" customWidth="1"/>
    <col min="57" max="57" width="2.75390625" style="3" customWidth="1"/>
    <col min="58" max="58" width="11.25390625" style="3" customWidth="1"/>
    <col min="59" max="59" width="3.25390625" style="3" customWidth="1"/>
    <col min="60" max="60" width="11.375" style="1" customWidth="1"/>
    <col min="61" max="61" width="3.00390625" style="1" customWidth="1"/>
    <col min="62" max="62" width="11.25390625" style="1" customWidth="1"/>
    <col min="63" max="63" width="3.25390625" style="1" customWidth="1"/>
    <col min="64" max="64" width="11.625" style="1" bestFit="1" customWidth="1"/>
    <col min="65" max="65" width="1.625" style="1" bestFit="1" customWidth="1"/>
    <col min="66" max="66" width="11.625" style="1" bestFit="1" customWidth="1"/>
    <col min="67" max="67" width="3.00390625" style="1" bestFit="1" customWidth="1"/>
    <col min="68" max="68" width="11.75390625" style="1" customWidth="1"/>
    <col min="69" max="69" width="3.00390625" style="1" bestFit="1" customWidth="1"/>
    <col min="70" max="70" width="11.75390625" style="1" customWidth="1"/>
    <col min="71" max="71" width="3.00390625" style="1" bestFit="1" customWidth="1"/>
    <col min="72" max="72" width="11.75390625" style="1" customWidth="1"/>
    <col min="73" max="73" width="3.00390625" style="1" bestFit="1" customWidth="1"/>
    <col min="74" max="16384" width="5.625" style="3" customWidth="1"/>
  </cols>
  <sheetData>
    <row r="1" spans="1:11" ht="14.25">
      <c r="A1" s="41" t="s">
        <v>168</v>
      </c>
      <c r="J1" s="49" t="s">
        <v>245</v>
      </c>
      <c r="K1" s="48"/>
    </row>
    <row r="2" ht="14.25">
      <c r="A2" s="41" t="s">
        <v>169</v>
      </c>
    </row>
    <row r="3" ht="14.25">
      <c r="A3" s="41" t="s">
        <v>244</v>
      </c>
    </row>
    <row r="4" spans="1:54" ht="12.75">
      <c r="A4" s="53" t="s">
        <v>187</v>
      </c>
      <c r="BB4" s="56"/>
    </row>
    <row r="5" spans="1:17" ht="12.75">
      <c r="A5" s="68" t="s">
        <v>104</v>
      </c>
      <c r="B5" s="68"/>
      <c r="C5" s="68"/>
      <c r="D5" s="68"/>
      <c r="E5" s="68"/>
      <c r="F5" s="68"/>
      <c r="G5" s="68"/>
      <c r="H5" s="68"/>
      <c r="I5" s="68"/>
      <c r="J5" s="68"/>
      <c r="K5" s="68"/>
      <c r="L5" s="68"/>
      <c r="M5" s="68"/>
      <c r="N5" s="68"/>
      <c r="O5" s="68"/>
      <c r="P5" s="68"/>
      <c r="Q5" s="68"/>
    </row>
    <row r="6" spans="1:54" ht="12.75" customHeight="1" thickBot="1">
      <c r="A6" s="29" t="s">
        <v>175</v>
      </c>
      <c r="AT6"/>
      <c r="BB6" s="55"/>
    </row>
    <row r="7" spans="6:56" ht="12.75">
      <c r="F7" s="67" t="s">
        <v>1</v>
      </c>
      <c r="G7" s="67"/>
      <c r="H7" s="67"/>
      <c r="I7" s="67"/>
      <c r="J7" s="67"/>
      <c r="K7" s="23"/>
      <c r="L7" s="24" t="s">
        <v>2</v>
      </c>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5"/>
      <c r="AX7" s="23"/>
      <c r="AY7" s="25"/>
      <c r="AZ7" s="5"/>
      <c r="BA7" s="6"/>
      <c r="BD7" s="56"/>
    </row>
    <row r="8" spans="1:73" ht="13.5" thickBot="1">
      <c r="A8" s="7"/>
      <c r="B8" s="7"/>
      <c r="C8" s="7"/>
      <c r="D8" s="7"/>
      <c r="E8" s="7"/>
      <c r="F8" s="22" t="s">
        <v>3</v>
      </c>
      <c r="G8" s="26"/>
      <c r="H8" s="22" t="s">
        <v>4</v>
      </c>
      <c r="I8" s="26"/>
      <c r="J8" s="22" t="s">
        <v>5</v>
      </c>
      <c r="K8" s="26"/>
      <c r="L8" s="22" t="s">
        <v>6</v>
      </c>
      <c r="M8" s="26"/>
      <c r="N8" s="22" t="s">
        <v>7</v>
      </c>
      <c r="O8" s="26"/>
      <c r="P8" s="22" t="s">
        <v>44</v>
      </c>
      <c r="Q8" s="26"/>
      <c r="R8" s="22" t="s">
        <v>45</v>
      </c>
      <c r="S8" s="26"/>
      <c r="T8" s="22" t="s">
        <v>46</v>
      </c>
      <c r="U8" s="26"/>
      <c r="V8" s="22" t="s">
        <v>47</v>
      </c>
      <c r="W8" s="26"/>
      <c r="X8" s="22" t="s">
        <v>48</v>
      </c>
      <c r="Y8" s="26"/>
      <c r="Z8" s="22" t="s">
        <v>49</v>
      </c>
      <c r="AA8" s="26"/>
      <c r="AB8" s="22" t="s">
        <v>50</v>
      </c>
      <c r="AC8" s="26"/>
      <c r="AD8" s="22" t="s">
        <v>51</v>
      </c>
      <c r="AE8" s="26"/>
      <c r="AF8" s="22" t="s">
        <v>52</v>
      </c>
      <c r="AG8" s="26"/>
      <c r="AH8" s="22" t="s">
        <v>53</v>
      </c>
      <c r="AI8" s="26"/>
      <c r="AJ8" s="22" t="s">
        <v>54</v>
      </c>
      <c r="AK8" s="26"/>
      <c r="AL8" s="22" t="s">
        <v>55</v>
      </c>
      <c r="AM8" s="26"/>
      <c r="AN8" s="22" t="s">
        <v>56</v>
      </c>
      <c r="AO8" s="26"/>
      <c r="AP8" s="22" t="s">
        <v>57</v>
      </c>
      <c r="AQ8" s="26"/>
      <c r="AR8" s="22" t="s">
        <v>58</v>
      </c>
      <c r="AS8" s="26"/>
      <c r="AT8" s="61" t="s">
        <v>110</v>
      </c>
      <c r="AU8" s="26"/>
      <c r="AV8" s="22" t="s">
        <v>111</v>
      </c>
      <c r="AW8" s="8" t="s">
        <v>158</v>
      </c>
      <c r="AX8" s="22" t="s">
        <v>112</v>
      </c>
      <c r="AY8" s="8" t="s">
        <v>158</v>
      </c>
      <c r="AZ8" s="9" t="s">
        <v>123</v>
      </c>
      <c r="BA8" s="10"/>
      <c r="BB8" s="22" t="s">
        <v>123</v>
      </c>
      <c r="BC8" s="8" t="s">
        <v>158</v>
      </c>
      <c r="BD8" s="22" t="s">
        <v>178</v>
      </c>
      <c r="BE8" s="8" t="s">
        <v>158</v>
      </c>
      <c r="BF8" s="22" t="s">
        <v>190</v>
      </c>
      <c r="BG8" s="8" t="s">
        <v>158</v>
      </c>
      <c r="BH8" s="22" t="s">
        <v>197</v>
      </c>
      <c r="BI8" s="8" t="s">
        <v>158</v>
      </c>
      <c r="BJ8" s="22" t="s">
        <v>205</v>
      </c>
      <c r="BK8" s="8" t="s">
        <v>158</v>
      </c>
      <c r="BL8" s="22" t="s">
        <v>201</v>
      </c>
      <c r="BM8" s="8" t="s">
        <v>158</v>
      </c>
      <c r="BN8" s="22" t="s">
        <v>209</v>
      </c>
      <c r="BO8" s="8" t="s">
        <v>158</v>
      </c>
      <c r="BP8" s="22" t="s">
        <v>223</v>
      </c>
      <c r="BQ8" s="8" t="s">
        <v>158</v>
      </c>
      <c r="BR8" s="22" t="s">
        <v>235</v>
      </c>
      <c r="BS8" s="8" t="s">
        <v>158</v>
      </c>
      <c r="BT8" s="22" t="s">
        <v>240</v>
      </c>
      <c r="BU8" s="8" t="s">
        <v>158</v>
      </c>
    </row>
    <row r="9" spans="1:73" ht="12.75">
      <c r="A9" s="20" t="s">
        <v>8</v>
      </c>
      <c r="B9" s="11"/>
      <c r="C9" s="11"/>
      <c r="D9" s="11"/>
      <c r="E9" s="11"/>
      <c r="F9" s="27">
        <f>F11+F89+F91</f>
        <v>3231510</v>
      </c>
      <c r="G9" s="27"/>
      <c r="H9" s="27">
        <f>H11+H89+H91</f>
        <v>3632015</v>
      </c>
      <c r="I9" s="27"/>
      <c r="J9" s="27">
        <f>J11+J89+J91</f>
        <v>6863525</v>
      </c>
      <c r="K9" s="27"/>
      <c r="L9" s="27">
        <f>L11+L89+L91</f>
        <v>4100662</v>
      </c>
      <c r="M9" s="27"/>
      <c r="N9" s="27">
        <f>N11+N89+N91</f>
        <v>3649194</v>
      </c>
      <c r="O9" s="27"/>
      <c r="P9" s="27">
        <f>P11+P89+P91</f>
        <v>4041913</v>
      </c>
      <c r="Q9" s="27"/>
      <c r="R9" s="27">
        <f>R11+R89+R91</f>
        <v>4138911</v>
      </c>
      <c r="S9" s="27"/>
      <c r="T9" s="27">
        <f>T11+T89+T91</f>
        <v>4140485</v>
      </c>
      <c r="U9" s="27"/>
      <c r="V9" s="27">
        <f>V11+V89+V91</f>
        <v>4283975</v>
      </c>
      <c r="W9" s="27"/>
      <c r="X9" s="27">
        <f>X11+X89+X91</f>
        <v>4968253.149</v>
      </c>
      <c r="Y9" s="27"/>
      <c r="Z9" s="27">
        <f>Z11+Z89+Z91</f>
        <v>4555331</v>
      </c>
      <c r="AA9" s="27"/>
      <c r="AB9" s="27">
        <f>AB11+AB89+AB91</f>
        <v>4843266</v>
      </c>
      <c r="AC9" s="27"/>
      <c r="AD9" s="27">
        <f>AD11+AD89+AD91</f>
        <v>5410010</v>
      </c>
      <c r="AE9" s="27"/>
      <c r="AF9" s="27">
        <f>AF11+AF89+AF91</f>
        <v>4352602</v>
      </c>
      <c r="AG9" s="27"/>
      <c r="AH9" s="27">
        <f>AH11+AH89+AH91</f>
        <v>4513678</v>
      </c>
      <c r="AI9" s="27"/>
      <c r="AJ9" s="27">
        <f>AJ11+AJ89+AJ91</f>
        <v>5178903</v>
      </c>
      <c r="AK9" s="27"/>
      <c r="AL9" s="27">
        <f>AL11+AL89+AL91</f>
        <v>6837464</v>
      </c>
      <c r="AM9" s="27"/>
      <c r="AN9" s="27">
        <f>AN11+AN89+AN91</f>
        <v>7018662</v>
      </c>
      <c r="AO9" s="27"/>
      <c r="AP9" s="27">
        <f>AP11+AP89+AP91</f>
        <v>5969155.136</v>
      </c>
      <c r="AQ9" s="27"/>
      <c r="AR9" s="27">
        <f>AR11+AR89+AR91</f>
        <v>6041678.3</v>
      </c>
      <c r="AS9" s="27"/>
      <c r="AT9" s="27">
        <f>AT11+AT89+AT91+AT94</f>
        <v>6417022.725</v>
      </c>
      <c r="AU9" s="27"/>
      <c r="AV9" s="27">
        <f>AV11+AV89+AV91+AV94</f>
        <v>5713068.194</v>
      </c>
      <c r="AW9" s="28"/>
      <c r="AX9" s="27">
        <f>AX11+AX89+AX91+AX94</f>
        <v>5566050.86675</v>
      </c>
      <c r="AY9" s="28"/>
      <c r="AZ9" s="12"/>
      <c r="BA9" s="12"/>
      <c r="BB9" s="27">
        <f>BB11+BB89+BB91+BB94</f>
        <v>5680371.694000001</v>
      </c>
      <c r="BC9" s="28"/>
      <c r="BD9" s="27">
        <f>BD11+BD89+BD91+BD94</f>
        <v>5736192.705039999</v>
      </c>
      <c r="BE9" s="28"/>
      <c r="BF9" s="27">
        <f>BF11+BF89+BF91+BF94</f>
        <v>5595654.67561</v>
      </c>
      <c r="BG9" s="27"/>
      <c r="BH9" s="27">
        <f>BH11+BH89+BH91+BH94</f>
        <v>4228480.643329999</v>
      </c>
      <c r="BI9" s="27"/>
      <c r="BJ9" s="45">
        <f>BJ11+BJ89+BJ91+BJ94</f>
        <v>4029300</v>
      </c>
      <c r="BK9" s="27"/>
      <c r="BL9" s="27">
        <f>BL11+BL89+BL91+BL94</f>
        <v>4309193.95511</v>
      </c>
      <c r="BM9" s="27"/>
      <c r="BN9" s="27">
        <f>BN11+BN85+BN89+BN91+BN94</f>
        <v>6320062.859</v>
      </c>
      <c r="BO9" s="27"/>
      <c r="BP9" s="27">
        <f>BP11+BP84+BP85+BP89+BP91+BP94</f>
        <v>6153135.992</v>
      </c>
      <c r="BQ9" s="27"/>
      <c r="BR9" s="27">
        <f>BR11+BR84+BR85+BR89+BR91+BR94</f>
        <v>5993441.376</v>
      </c>
      <c r="BS9" s="27"/>
      <c r="BT9" s="27">
        <f>BT11+BT84+BT85+BT89+BT91+BT94</f>
        <v>5722770.705000001</v>
      </c>
      <c r="BU9" s="27"/>
    </row>
    <row r="10" spans="6:62" ht="9" customHeight="1">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1"/>
      <c r="AX10" s="50"/>
      <c r="AY10" s="51"/>
      <c r="AZ10" s="50"/>
      <c r="BA10" s="50"/>
      <c r="BB10" s="50"/>
      <c r="BC10" s="51"/>
      <c r="BD10" s="50"/>
      <c r="BE10" s="51"/>
      <c r="BJ10" s="63"/>
    </row>
    <row r="11" spans="1:73" ht="12.75">
      <c r="A11" s="20" t="s">
        <v>9</v>
      </c>
      <c r="B11" s="11"/>
      <c r="C11" s="11"/>
      <c r="D11" s="11"/>
      <c r="E11" s="11"/>
      <c r="F11" s="27">
        <f>SUM(F12,F72:F75,F78:F83)</f>
        <v>2914210</v>
      </c>
      <c r="G11" s="27"/>
      <c r="H11" s="27">
        <f>SUM(H12,H72:H75,H78:H83)</f>
        <v>3632015</v>
      </c>
      <c r="I11" s="27"/>
      <c r="J11" s="27">
        <f>SUM(J12,J72:J75,J78:J83)</f>
        <v>6546225</v>
      </c>
      <c r="K11" s="27"/>
      <c r="L11" s="27">
        <f>SUM(L12,L72:L75,L78:L83)</f>
        <v>3774662</v>
      </c>
      <c r="M11" s="27"/>
      <c r="N11" s="27">
        <f>SUM(N12,N72:N75,N78:N83)</f>
        <v>3337192</v>
      </c>
      <c r="O11" s="27"/>
      <c r="P11" s="27">
        <f>SUM(P12,P72:P75,P81:P82)</f>
        <v>3705913</v>
      </c>
      <c r="Q11" s="27"/>
      <c r="R11" s="27">
        <f>SUM(R12,R72:R75,R81:R82)</f>
        <v>3807651</v>
      </c>
      <c r="S11" s="27"/>
      <c r="T11" s="27">
        <f>SUM(T12,T72:T75,T81:T82)</f>
        <v>3796661</v>
      </c>
      <c r="U11" s="27"/>
      <c r="V11" s="27">
        <f>SUM(V12,V72:V75,V81:V82)</f>
        <v>3916962</v>
      </c>
      <c r="W11" s="27"/>
      <c r="X11" s="27">
        <f>SUM(X12,X72:X75,X81:X82)</f>
        <v>4577898.149</v>
      </c>
      <c r="Y11" s="27"/>
      <c r="Z11" s="27">
        <f>SUM(Z12,Z72:Z75,Z78:Z83)</f>
        <v>4160150</v>
      </c>
      <c r="AA11" s="27"/>
      <c r="AB11" s="27">
        <f>SUM(AB12,AB72:AB75,AB78:AB83)</f>
        <v>4447206</v>
      </c>
      <c r="AC11" s="27"/>
      <c r="AD11" s="27">
        <f>SUM(AD12,AD72:AD75,AD78:AD83)</f>
        <v>4999510</v>
      </c>
      <c r="AE11" s="27"/>
      <c r="AF11" s="27">
        <f>SUM(AF12,AF72:AF75,AF78:AF83)</f>
        <v>3956542</v>
      </c>
      <c r="AG11" s="27"/>
      <c r="AH11" s="27">
        <f>SUM(AH12,AH72:AH75,AH78:AH83)</f>
        <v>4140678</v>
      </c>
      <c r="AI11" s="27"/>
      <c r="AJ11" s="27">
        <f>SUM(AJ12,AJ72:AJ75,AJ78:AJ83)</f>
        <v>4715903</v>
      </c>
      <c r="AK11" s="27"/>
      <c r="AL11" s="27">
        <f>SUM(AL12,AL72:AL75,AL78:AL83)</f>
        <v>4988226</v>
      </c>
      <c r="AM11" s="27"/>
      <c r="AN11" s="27">
        <f>SUM(AN12,AN72:AN75,AN78:AN83)</f>
        <v>5277652</v>
      </c>
      <c r="AO11" s="27"/>
      <c r="AP11" s="27">
        <f>SUM(AP12,AP72:AP75,AP78:AP83)</f>
        <v>5528955.136</v>
      </c>
      <c r="AQ11" s="27"/>
      <c r="AR11" s="27">
        <f>SUM(AR12,AR72:AR75,AR78:AR83)</f>
        <v>5601478.3</v>
      </c>
      <c r="AS11" s="27"/>
      <c r="AT11" s="27">
        <f>SUM(AT12,AT72:AT75,AT78:AT83)</f>
        <v>5796922.725</v>
      </c>
      <c r="AU11" s="27"/>
      <c r="AV11" s="27">
        <f>SUM(AV12,AV72:AV75,AV78:AV83)</f>
        <v>5270761.994</v>
      </c>
      <c r="AW11" s="28"/>
      <c r="AX11" s="27">
        <f>SUM(AX12,AX72:AX75,AX78:AX83)</f>
        <v>5127401.25975</v>
      </c>
      <c r="AY11" s="52"/>
      <c r="AZ11" s="12">
        <f>SUM(AZ12,AZ72:AZ75,AZ78:AZ83)</f>
        <v>5337772.63</v>
      </c>
      <c r="BA11" s="12"/>
      <c r="BB11" s="27">
        <f>SUM(BB12,BB72:BB75,BB78:BB83)</f>
        <v>5243693.294000001</v>
      </c>
      <c r="BC11" s="52"/>
      <c r="BD11" s="27">
        <f>SUM(BD12,BD72:BD75,BD78:BD83)</f>
        <v>5253881.48504</v>
      </c>
      <c r="BE11" s="52"/>
      <c r="BF11" s="27">
        <f>SUM(BF12,BF72:BF75,BF78:BF83)</f>
        <v>5112043.67561</v>
      </c>
      <c r="BG11" s="27"/>
      <c r="BH11" s="27">
        <f>SUM(BH12,BH72:BH75,BH78:BH83)</f>
        <v>3706805.4663299993</v>
      </c>
      <c r="BI11" s="27"/>
      <c r="BJ11" s="64">
        <f>SUM(BJ12,BJ72:BJ75,BJ78:BJ83)</f>
        <v>3910500</v>
      </c>
      <c r="BK11" s="27"/>
      <c r="BL11" s="27">
        <f>SUM(BL12,BL72:BL75,BL78:BL83)</f>
        <v>3737268.95511</v>
      </c>
      <c r="BM11" s="27"/>
      <c r="BN11" s="27">
        <f>SUM(BN12,BN72:BN75,BN78:BN83)</f>
        <v>3814012.359</v>
      </c>
      <c r="BO11" s="27"/>
      <c r="BP11" s="27">
        <f>SUM(BP12,BP72:BP75,BP78:BP83)</f>
        <v>3469885.5559999994</v>
      </c>
      <c r="BQ11" s="27"/>
      <c r="BR11" s="27">
        <f>SUM(BR12,BR72:BR75,BR78:BR83)</f>
        <v>3332243.838</v>
      </c>
      <c r="BS11" s="27"/>
      <c r="BT11" s="27">
        <f>SUM(BT12,BT72:BT75,BT78:BT83)</f>
        <v>3209593.7060000002</v>
      </c>
      <c r="BU11" s="27"/>
    </row>
    <row r="12" spans="2:73" ht="12.75">
      <c r="B12" s="13" t="s">
        <v>59</v>
      </c>
      <c r="C12" s="13"/>
      <c r="D12" s="13"/>
      <c r="E12" s="13"/>
      <c r="F12" s="16">
        <f>SUM(F13:F16,F29:F39,F43:F46)</f>
        <v>2893810</v>
      </c>
      <c r="G12" s="16"/>
      <c r="H12" s="16">
        <f>SUM(H13:H16,H29:H39,H43:H46)</f>
        <v>3632015</v>
      </c>
      <c r="I12" s="16"/>
      <c r="J12" s="16">
        <f>SUM(J13:J16,J28,J39,J43:J46)</f>
        <v>6525825</v>
      </c>
      <c r="K12" s="16"/>
      <c r="L12" s="16">
        <f>SUM(L13:L16,L28,L39,L43:L46)</f>
        <v>3748662</v>
      </c>
      <c r="M12" s="16"/>
      <c r="N12" s="16">
        <f>SUM(N13:N16,N28,N39,N43:N46)</f>
        <v>3312310</v>
      </c>
      <c r="O12" s="16"/>
      <c r="P12" s="16">
        <f>SUM(P13:P16,P28,P39,P43:P46)</f>
        <v>3656013</v>
      </c>
      <c r="Q12" s="16"/>
      <c r="R12" s="16">
        <f>SUM(R13:R16,R28,R39,R43:R46)</f>
        <v>3747689</v>
      </c>
      <c r="S12" s="16"/>
      <c r="T12" s="16">
        <f>SUM(T13:T16,T28,T39,T43:T46)</f>
        <v>3741923</v>
      </c>
      <c r="U12" s="16"/>
      <c r="V12" s="16">
        <f>SUM(V13:V16,V28,V39,V43:V46)</f>
        <v>3904119</v>
      </c>
      <c r="W12" s="16"/>
      <c r="X12" s="16">
        <f>SUM(X13:X16,X28,X39,X43:X46)</f>
        <v>4566675.149</v>
      </c>
      <c r="Y12" s="16"/>
      <c r="Z12" s="16">
        <f>SUM(Z13:Z16,Z28,Z39,Z43:Z46)</f>
        <v>4150838</v>
      </c>
      <c r="AA12" s="16"/>
      <c r="AB12" s="16">
        <f>SUM(AB13:AB16,AB28,AB39,AB43:AB46)</f>
        <v>4433181</v>
      </c>
      <c r="AC12" s="16"/>
      <c r="AD12" s="16">
        <f>SUM(AD13:AD16,AD28,AD39,AD43:AD46)</f>
        <v>4931357</v>
      </c>
      <c r="AE12" s="16"/>
      <c r="AF12" s="16">
        <f>SUM(AF13:AF16,AF28,AF39,AF43:AF46)</f>
        <v>3828060</v>
      </c>
      <c r="AG12" s="16"/>
      <c r="AH12" s="16">
        <f>SUM(AH13:AH16,AH28,AH39,AH43:AH46)</f>
        <v>3963426</v>
      </c>
      <c r="AI12" s="16"/>
      <c r="AJ12" s="16">
        <f>SUM(AJ13:AJ16,AJ28,AJ39,AJ43:AJ46)</f>
        <v>4508293</v>
      </c>
      <c r="AK12" s="16"/>
      <c r="AL12" s="16">
        <f>SUM(AL13:AL16,AL28,AL39,AL43:AL46)</f>
        <v>4776226</v>
      </c>
      <c r="AM12" s="16"/>
      <c r="AN12" s="16">
        <f>SUM(AN13:AN16,AN28,AN39,AN43:AN46)</f>
        <v>5141652</v>
      </c>
      <c r="AO12" s="16"/>
      <c r="AP12" s="16">
        <f>SUM(AP13:AP16,AP28,AP39,AP43:AP46)</f>
        <v>5456392.136</v>
      </c>
      <c r="AQ12" s="16"/>
      <c r="AR12" s="16">
        <f>SUM(AR13:AR16,AR28,AR39,AR43:AR46)</f>
        <v>5596978.3</v>
      </c>
      <c r="AS12" s="16"/>
      <c r="AT12" s="16">
        <f>SUM(AT13:AT16,AT28,AT39,AT43:AT46)</f>
        <v>5792466.725</v>
      </c>
      <c r="AU12" s="16"/>
      <c r="AV12" s="16">
        <f>SUM(AV13:AV16,AV28,AV39,AV43:AV46)</f>
        <v>5269768.494</v>
      </c>
      <c r="AW12" s="17"/>
      <c r="AX12" s="16">
        <f>SUM(AX13:AX16,AX28,AX39,AX43:AX46)</f>
        <v>5127401.25975</v>
      </c>
      <c r="AY12" s="17"/>
      <c r="AZ12" s="16">
        <f>SUM(AZ13:AZ16,AZ28,AZ39,AZ43:AZ46)</f>
        <v>5337772.63</v>
      </c>
      <c r="BA12" s="16"/>
      <c r="BB12" s="16">
        <f>SUM(BB13:BB16,BB28,BB39,BB43:BB46)</f>
        <v>5243693.294000001</v>
      </c>
      <c r="BC12" s="17"/>
      <c r="BD12" s="16">
        <f>SUM(BD13:BD16,BD28,BD39,BD43:BD46)</f>
        <v>5252909.30504</v>
      </c>
      <c r="BE12" s="17"/>
      <c r="BF12" s="16">
        <f>SUM(BF13:BF16,BF28,BF39,BF43:BF46)</f>
        <v>5111043.67561</v>
      </c>
      <c r="BG12" s="16"/>
      <c r="BH12" s="16">
        <f>SUM(BH13:BH16,BH28,BH39,BH43:BH46)</f>
        <v>3705822.9363299995</v>
      </c>
      <c r="BI12" s="16"/>
      <c r="BJ12" s="21">
        <f>SUM(BJ13:BJ16,BJ28,BJ39,BJ43:BJ46)</f>
        <v>3910500</v>
      </c>
      <c r="BK12" s="16"/>
      <c r="BL12" s="16">
        <f>SUM(BL13:BL16,BL28,BL39,BL43:BL46)</f>
        <v>3736268.95511</v>
      </c>
      <c r="BM12" s="16"/>
      <c r="BN12" s="16">
        <f>SUM(BN13:BN16,BN28,BN39,BN43:BN46)</f>
        <v>3813012.359</v>
      </c>
      <c r="BO12" s="16"/>
      <c r="BP12" s="16">
        <f>SUM(BP13:BP16,BP28,BP39,BP43:BP46)</f>
        <v>3468887.5559999994</v>
      </c>
      <c r="BQ12" s="16"/>
      <c r="BR12" s="16">
        <f>SUM(BR13:BR16,BR28,BR39,BR43:BR46)</f>
        <v>3331247.724</v>
      </c>
      <c r="BS12" s="16"/>
      <c r="BT12" s="16">
        <f>SUM(BT13:BT16,BT28,BT39,BT43:BT46)</f>
        <v>3208649.524</v>
      </c>
      <c r="BU12" s="16"/>
    </row>
    <row r="13" spans="3:73" ht="12.75">
      <c r="C13" s="13" t="s">
        <v>60</v>
      </c>
      <c r="D13" s="13"/>
      <c r="E13" s="13"/>
      <c r="F13" s="16">
        <v>1414613</v>
      </c>
      <c r="G13" s="16"/>
      <c r="H13" s="16">
        <v>1886151</v>
      </c>
      <c r="I13" s="16"/>
      <c r="J13" s="16">
        <f>F13+H13</f>
        <v>3300764</v>
      </c>
      <c r="K13" s="16"/>
      <c r="L13" s="16">
        <v>1886151</v>
      </c>
      <c r="M13" s="16"/>
      <c r="N13" s="16">
        <v>1783085</v>
      </c>
      <c r="O13" s="16"/>
      <c r="P13" s="16">
        <v>1840000</v>
      </c>
      <c r="Q13" s="16"/>
      <c r="R13" s="16">
        <v>1809486</v>
      </c>
      <c r="S13" s="16"/>
      <c r="T13" s="16">
        <v>1787772</v>
      </c>
      <c r="U13" s="16"/>
      <c r="V13" s="16">
        <v>1744808</v>
      </c>
      <c r="W13" s="16"/>
      <c r="X13" s="16">
        <v>1778484</v>
      </c>
      <c r="Y13" s="16"/>
      <c r="Z13" s="16">
        <v>1773484</v>
      </c>
      <c r="AA13" s="16"/>
      <c r="AB13" s="21" t="s">
        <v>63</v>
      </c>
      <c r="AC13" s="16"/>
      <c r="AD13" s="21" t="s">
        <v>63</v>
      </c>
      <c r="AE13" s="16"/>
      <c r="AF13" s="21" t="s">
        <v>63</v>
      </c>
      <c r="AG13" s="16"/>
      <c r="AH13" s="21" t="s">
        <v>63</v>
      </c>
      <c r="AI13" s="16"/>
      <c r="AJ13" s="21" t="s">
        <v>63</v>
      </c>
      <c r="AK13" s="16"/>
      <c r="AL13" s="21" t="s">
        <v>63</v>
      </c>
      <c r="AM13" s="16"/>
      <c r="AN13" s="21" t="s">
        <v>63</v>
      </c>
      <c r="AO13" s="16"/>
      <c r="AP13" s="21" t="s">
        <v>63</v>
      </c>
      <c r="AQ13" s="16"/>
      <c r="AR13" s="21" t="s">
        <v>63</v>
      </c>
      <c r="AS13" s="16"/>
      <c r="AT13" s="21" t="s">
        <v>63</v>
      </c>
      <c r="AU13" s="16"/>
      <c r="AV13" s="21" t="s">
        <v>63</v>
      </c>
      <c r="AW13" s="17"/>
      <c r="AX13" s="21" t="s">
        <v>63</v>
      </c>
      <c r="AY13" s="17"/>
      <c r="AZ13" s="16"/>
      <c r="BA13" s="16"/>
      <c r="BB13" s="57" t="s">
        <v>63</v>
      </c>
      <c r="BC13" s="58"/>
      <c r="BD13" s="57" t="s">
        <v>63</v>
      </c>
      <c r="BE13" s="17"/>
      <c r="BF13" s="57" t="s">
        <v>63</v>
      </c>
      <c r="BG13" s="57"/>
      <c r="BH13" s="21" t="s">
        <v>63</v>
      </c>
      <c r="BI13" s="21"/>
      <c r="BJ13" s="21" t="s">
        <v>63</v>
      </c>
      <c r="BK13" s="21"/>
      <c r="BL13" s="21" t="s">
        <v>63</v>
      </c>
      <c r="BM13" s="21"/>
      <c r="BN13" s="21" t="s">
        <v>63</v>
      </c>
      <c r="BO13" s="21"/>
      <c r="BP13" s="21" t="s">
        <v>63</v>
      </c>
      <c r="BQ13" s="21"/>
      <c r="BR13" s="21" t="s">
        <v>63</v>
      </c>
      <c r="BS13" s="21"/>
      <c r="BT13" s="21" t="s">
        <v>63</v>
      </c>
      <c r="BU13" s="21"/>
    </row>
    <row r="14" spans="3:73" ht="12.75">
      <c r="C14" s="13" t="s">
        <v>224</v>
      </c>
      <c r="D14" s="13"/>
      <c r="E14" s="13"/>
      <c r="F14" s="21" t="s">
        <v>63</v>
      </c>
      <c r="G14" s="16"/>
      <c r="H14" s="21" t="s">
        <v>63</v>
      </c>
      <c r="I14" s="16"/>
      <c r="J14" s="21" t="s">
        <v>63</v>
      </c>
      <c r="K14" s="16"/>
      <c r="L14" s="21" t="s">
        <v>63</v>
      </c>
      <c r="M14" s="16"/>
      <c r="N14" s="21" t="s">
        <v>63</v>
      </c>
      <c r="O14" s="16"/>
      <c r="P14" s="21" t="s">
        <v>63</v>
      </c>
      <c r="Q14" s="16"/>
      <c r="R14" s="21" t="s">
        <v>63</v>
      </c>
      <c r="S14" s="16"/>
      <c r="T14" s="21" t="s">
        <v>63</v>
      </c>
      <c r="U14" s="16"/>
      <c r="V14" s="21" t="s">
        <v>63</v>
      </c>
      <c r="W14" s="16"/>
      <c r="X14" s="21" t="s">
        <v>63</v>
      </c>
      <c r="Y14" s="16"/>
      <c r="Z14" s="21" t="s">
        <v>63</v>
      </c>
      <c r="AA14" s="16"/>
      <c r="AB14" s="21" t="s">
        <v>63</v>
      </c>
      <c r="AC14" s="16"/>
      <c r="AD14" s="21" t="s">
        <v>63</v>
      </c>
      <c r="AE14" s="16"/>
      <c r="AF14" s="21" t="s">
        <v>63</v>
      </c>
      <c r="AG14" s="16"/>
      <c r="AH14" s="21" t="s">
        <v>63</v>
      </c>
      <c r="AI14" s="16"/>
      <c r="AJ14" s="21" t="s">
        <v>63</v>
      </c>
      <c r="AK14" s="16"/>
      <c r="AL14" s="21" t="s">
        <v>63</v>
      </c>
      <c r="AM14" s="16"/>
      <c r="AN14" s="21" t="s">
        <v>63</v>
      </c>
      <c r="AO14" s="16"/>
      <c r="AP14" s="21" t="s">
        <v>63</v>
      </c>
      <c r="AQ14" s="16"/>
      <c r="AR14" s="21" t="s">
        <v>63</v>
      </c>
      <c r="AS14" s="16"/>
      <c r="AT14" s="21" t="s">
        <v>63</v>
      </c>
      <c r="AU14" s="16"/>
      <c r="AV14" s="21" t="s">
        <v>63</v>
      </c>
      <c r="AW14" s="17"/>
      <c r="AX14" s="21" t="s">
        <v>63</v>
      </c>
      <c r="AY14" s="16"/>
      <c r="AZ14" s="21" t="s">
        <v>63</v>
      </c>
      <c r="BA14" s="16"/>
      <c r="BB14" s="21" t="s">
        <v>63</v>
      </c>
      <c r="BC14" s="16"/>
      <c r="BD14" s="21" t="s">
        <v>63</v>
      </c>
      <c r="BE14" s="16"/>
      <c r="BF14" s="21" t="s">
        <v>63</v>
      </c>
      <c r="BG14" s="16"/>
      <c r="BH14" s="21" t="s">
        <v>63</v>
      </c>
      <c r="BI14" s="16"/>
      <c r="BJ14" s="21" t="s">
        <v>63</v>
      </c>
      <c r="BK14" s="16"/>
      <c r="BL14" s="21" t="s">
        <v>63</v>
      </c>
      <c r="BM14" s="16"/>
      <c r="BN14" s="21" t="s">
        <v>63</v>
      </c>
      <c r="BO14" s="16"/>
      <c r="BP14" s="21">
        <f>124750000/1000</f>
        <v>124750</v>
      </c>
      <c r="BQ14" s="16"/>
      <c r="BR14" s="21">
        <f>49905500/1000</f>
        <v>49905.5</v>
      </c>
      <c r="BS14" s="16"/>
      <c r="BT14" s="21">
        <f>47303671/1000</f>
        <v>47303.671</v>
      </c>
      <c r="BU14" s="16"/>
    </row>
    <row r="15" spans="3:73" ht="12.75">
      <c r="C15" s="13" t="s">
        <v>61</v>
      </c>
      <c r="D15" s="13"/>
      <c r="E15" s="13"/>
      <c r="F15" s="21" t="s">
        <v>63</v>
      </c>
      <c r="G15" s="16"/>
      <c r="H15" s="21" t="s">
        <v>63</v>
      </c>
      <c r="I15" s="16"/>
      <c r="J15" s="21" t="s">
        <v>63</v>
      </c>
      <c r="K15" s="16"/>
      <c r="L15" s="21" t="s">
        <v>63</v>
      </c>
      <c r="M15" s="16"/>
      <c r="N15" s="21" t="s">
        <v>63</v>
      </c>
      <c r="O15" s="16"/>
      <c r="P15" s="21" t="s">
        <v>63</v>
      </c>
      <c r="Q15" s="16"/>
      <c r="R15" s="21" t="s">
        <v>63</v>
      </c>
      <c r="S15" s="16"/>
      <c r="T15" s="21" t="s">
        <v>63</v>
      </c>
      <c r="U15" s="16"/>
      <c r="V15" s="21" t="s">
        <v>63</v>
      </c>
      <c r="W15" s="16"/>
      <c r="X15" s="21" t="s">
        <v>63</v>
      </c>
      <c r="Y15" s="16"/>
      <c r="Z15" s="21" t="s">
        <v>63</v>
      </c>
      <c r="AA15" s="16"/>
      <c r="AB15" s="16">
        <v>1015021</v>
      </c>
      <c r="AC15" s="17" t="s">
        <v>158</v>
      </c>
      <c r="AD15" s="16">
        <v>988021</v>
      </c>
      <c r="AE15" s="16"/>
      <c r="AF15" s="16">
        <v>996813</v>
      </c>
      <c r="AG15" s="16"/>
      <c r="AH15" s="16">
        <v>850000</v>
      </c>
      <c r="AI15" s="16"/>
      <c r="AJ15" s="16">
        <v>895000</v>
      </c>
      <c r="AK15" s="16"/>
      <c r="AL15" s="16">
        <v>955000</v>
      </c>
      <c r="AM15" s="16"/>
      <c r="AN15" s="16">
        <v>954000</v>
      </c>
      <c r="AO15" s="16" t="s">
        <v>158</v>
      </c>
      <c r="AP15" s="16">
        <v>950000</v>
      </c>
      <c r="AQ15" s="16"/>
      <c r="AR15" s="16">
        <v>950000</v>
      </c>
      <c r="AS15" s="16"/>
      <c r="AT15" s="16">
        <f>945372</f>
        <v>945372</v>
      </c>
      <c r="AU15" s="16" t="s">
        <v>158</v>
      </c>
      <c r="AV15" s="16">
        <f>894577.2</f>
        <v>894577.2</v>
      </c>
      <c r="AW15" s="17" t="s">
        <v>159</v>
      </c>
      <c r="AX15" s="16">
        <f>898890.8-5696</f>
        <v>893194.8</v>
      </c>
      <c r="AY15" s="17" t="s">
        <v>159</v>
      </c>
      <c r="AZ15" s="16">
        <v>896618.144</v>
      </c>
      <c r="BA15" s="16"/>
      <c r="BB15" s="59">
        <f>(889498144-7012040)/1000</f>
        <v>882486.104</v>
      </c>
      <c r="BC15" s="58" t="s">
        <v>179</v>
      </c>
      <c r="BD15" s="59">
        <f>840588464/1000</f>
        <v>840588.464</v>
      </c>
      <c r="BE15" s="58" t="s">
        <v>179</v>
      </c>
      <c r="BF15" s="57">
        <f>826104564/1000</f>
        <v>826104.564</v>
      </c>
      <c r="BG15" s="58" t="s">
        <v>179</v>
      </c>
      <c r="BH15" s="21">
        <f>861540083/1000</f>
        <v>861540.083</v>
      </c>
      <c r="BI15" s="17"/>
      <c r="BJ15" s="21">
        <f>495000000/1000</f>
        <v>495000</v>
      </c>
      <c r="BK15" s="17"/>
      <c r="BL15" s="21">
        <f>861540000/1000</f>
        <v>861540</v>
      </c>
      <c r="BM15" s="17"/>
      <c r="BN15" s="21">
        <f>860116000/1000</f>
        <v>860116</v>
      </c>
      <c r="BO15" s="17" t="s">
        <v>159</v>
      </c>
      <c r="BP15" s="21">
        <f>769576240/1000</f>
        <v>769576.24</v>
      </c>
      <c r="BQ15" s="17" t="s">
        <v>159</v>
      </c>
      <c r="BR15" s="21">
        <f>770810637/1000</f>
        <v>770810.637</v>
      </c>
      <c r="BS15" s="17"/>
      <c r="BT15" s="21">
        <f>730624342/1000</f>
        <v>730624.342</v>
      </c>
      <c r="BU15" s="17"/>
    </row>
    <row r="16" spans="3:73" ht="12.75">
      <c r="C16" s="13" t="s">
        <v>62</v>
      </c>
      <c r="D16" s="13"/>
      <c r="E16" s="13"/>
      <c r="F16" s="16">
        <f>SUM(F17:F26)</f>
        <v>94250</v>
      </c>
      <c r="G16" s="16"/>
      <c r="H16" s="16">
        <f>SUM(H17:H26)</f>
        <v>223000</v>
      </c>
      <c r="I16" s="16"/>
      <c r="J16" s="16">
        <f>SUM(J17:J26)</f>
        <v>317250</v>
      </c>
      <c r="K16" s="16"/>
      <c r="L16" s="16">
        <f>SUM(L17:L26)</f>
        <v>222500</v>
      </c>
      <c r="M16" s="16"/>
      <c r="N16" s="16">
        <f>SUM(N17:N26)</f>
        <v>95702</v>
      </c>
      <c r="O16" s="16"/>
      <c r="P16" s="16">
        <f>SUM(P17:P26)</f>
        <v>200000</v>
      </c>
      <c r="Q16" s="17" t="s">
        <v>158</v>
      </c>
      <c r="R16" s="16">
        <f>SUM(R17:R26)</f>
        <v>287220</v>
      </c>
      <c r="S16" s="16"/>
      <c r="T16" s="16">
        <f>SUM(T17:T26)</f>
        <v>283773</v>
      </c>
      <c r="U16" s="16"/>
      <c r="V16" s="16">
        <f>SUM(V17:V26)</f>
        <v>463603</v>
      </c>
      <c r="W16" s="16"/>
      <c r="X16" s="16">
        <f>SUM(X17:X26)</f>
        <v>526979.149</v>
      </c>
      <c r="Y16" s="17" t="s">
        <v>0</v>
      </c>
      <c r="Z16" s="16">
        <f>SUM(Z17:Z26)</f>
        <v>576986</v>
      </c>
      <c r="AA16" s="16"/>
      <c r="AB16" s="16">
        <f>SUM(AB17:AB26)</f>
        <v>651246</v>
      </c>
      <c r="AC16" s="16"/>
      <c r="AD16" s="16">
        <f>SUM(AD17:AD26)</f>
        <v>1151000</v>
      </c>
      <c r="AE16" s="16"/>
      <c r="AF16" s="16">
        <f>SUM(AF17:AF26)</f>
        <v>1228550</v>
      </c>
      <c r="AG16" s="16"/>
      <c r="AH16" s="16">
        <f>SUM(AH17:AH26)</f>
        <v>1091900</v>
      </c>
      <c r="AI16" s="16"/>
      <c r="AJ16" s="16">
        <f>SUM(AJ17:AJ26)</f>
        <v>1286200</v>
      </c>
      <c r="AK16" s="17" t="s">
        <v>158</v>
      </c>
      <c r="AL16" s="16">
        <f>SUM(AL17:AL26)</f>
        <v>1345510</v>
      </c>
      <c r="AM16" s="16"/>
      <c r="AN16" s="16">
        <f>SUM(AN17:AN26)</f>
        <v>1403510</v>
      </c>
      <c r="AO16" s="16"/>
      <c r="AP16" s="16">
        <f>SUM(AP17:AP26)</f>
        <v>1589025</v>
      </c>
      <c r="AQ16" s="16"/>
      <c r="AR16" s="16">
        <f>SUM(AR17:AR26)</f>
        <v>1433951</v>
      </c>
      <c r="AS16" s="16"/>
      <c r="AT16" s="16">
        <f>SUM(AT17:AT26)</f>
        <v>1602110</v>
      </c>
      <c r="AU16" s="16"/>
      <c r="AV16" s="16">
        <f>SUM(AV17:AV26)</f>
        <v>1454891.495</v>
      </c>
      <c r="AW16" s="17"/>
      <c r="AX16" s="16">
        <f>SUM(AX17:AX26)</f>
        <v>1445939.1160000002</v>
      </c>
      <c r="AY16" s="17"/>
      <c r="AZ16" s="16">
        <f>SUM(AZ17:AZ24)</f>
        <v>1476063.648</v>
      </c>
      <c r="BA16" s="16"/>
      <c r="BB16" s="59">
        <f>SUM(BB17:BB26)</f>
        <v>1303917.9440000001</v>
      </c>
      <c r="BC16" s="58"/>
      <c r="BD16" s="59">
        <f>SUM(BD17:BD26)</f>
        <v>1528548.653</v>
      </c>
      <c r="BE16" s="58"/>
      <c r="BF16" s="59">
        <f>SUM(BF17:BF26)</f>
        <v>1390434.12</v>
      </c>
      <c r="BG16" s="58"/>
      <c r="BH16" s="16">
        <f>SUM(BH17:BH26)</f>
        <v>1464707.055</v>
      </c>
      <c r="BI16" s="16"/>
      <c r="BJ16" s="21">
        <f>SUM(BJ17:BJ26)</f>
        <v>1435500</v>
      </c>
      <c r="BK16" s="16"/>
      <c r="BL16" s="16">
        <f>SUM(BL17:BL26)</f>
        <v>1466891</v>
      </c>
      <c r="BM16" s="16"/>
      <c r="BN16" s="16">
        <f>SUM(BN17:BN26)</f>
        <v>1410880</v>
      </c>
      <c r="BO16" s="16"/>
      <c r="BP16" s="16">
        <f>SUM(BP17:BP26)</f>
        <v>1283303.264</v>
      </c>
      <c r="BQ16" s="16"/>
      <c r="BR16" s="16">
        <f>SUM(BR17:BR26)</f>
        <v>1210536.165</v>
      </c>
      <c r="BS16" s="16"/>
      <c r="BT16" s="16">
        <f>SUM(BT17:BT27)</f>
        <v>1200152.429</v>
      </c>
      <c r="BU16" s="16"/>
    </row>
    <row r="17" spans="4:73" s="1" customFormat="1" ht="12.75">
      <c r="D17" s="18" t="s">
        <v>126</v>
      </c>
      <c r="E17" s="13"/>
      <c r="F17" s="16">
        <v>70687.5</v>
      </c>
      <c r="G17" s="16"/>
      <c r="H17" s="16">
        <v>167250</v>
      </c>
      <c r="I17" s="16"/>
      <c r="J17" s="16">
        <f>F17+H17</f>
        <v>237937.5</v>
      </c>
      <c r="K17" s="16"/>
      <c r="L17" s="16">
        <v>167250</v>
      </c>
      <c r="M17" s="16"/>
      <c r="N17" s="16">
        <v>71777</v>
      </c>
      <c r="O17" s="16"/>
      <c r="P17" s="16">
        <v>150000</v>
      </c>
      <c r="Q17" s="16"/>
      <c r="R17" s="16">
        <v>215415</v>
      </c>
      <c r="S17" s="16"/>
      <c r="T17" s="16">
        <v>227018.4</v>
      </c>
      <c r="U17" s="16"/>
      <c r="V17" s="16">
        <v>370882.4</v>
      </c>
      <c r="W17" s="16"/>
      <c r="X17" s="16">
        <v>421588.8</v>
      </c>
      <c r="Y17" s="16"/>
      <c r="Z17" s="16">
        <v>423788.185</v>
      </c>
      <c r="AA17" s="16"/>
      <c r="AB17" s="16">
        <v>413636.8</v>
      </c>
      <c r="AC17" s="16"/>
      <c r="AD17" s="16">
        <v>894400</v>
      </c>
      <c r="AE17" s="16"/>
      <c r="AF17" s="16">
        <v>982840</v>
      </c>
      <c r="AG17" s="16"/>
      <c r="AH17" s="16">
        <v>878000</v>
      </c>
      <c r="AI17" s="17" t="s">
        <v>158</v>
      </c>
      <c r="AJ17" s="16">
        <v>1034400</v>
      </c>
      <c r="AK17" s="16"/>
      <c r="AL17" s="16">
        <v>1080408</v>
      </c>
      <c r="AM17" s="16"/>
      <c r="AN17" s="16">
        <v>1124408</v>
      </c>
      <c r="AO17" s="16" t="s">
        <v>159</v>
      </c>
      <c r="AP17" s="16">
        <v>1271220</v>
      </c>
      <c r="AQ17" s="16"/>
      <c r="AR17" s="16">
        <f>1162032</f>
        <v>1162032</v>
      </c>
      <c r="AS17" s="16"/>
      <c r="AT17" s="16">
        <f>1233688</f>
        <v>1233688</v>
      </c>
      <c r="AU17" s="16" t="s">
        <v>158</v>
      </c>
      <c r="AV17" s="16">
        <f>1150149.247</f>
        <v>1150149.247</v>
      </c>
      <c r="AW17" s="17" t="s">
        <v>159</v>
      </c>
      <c r="AX17" s="16">
        <f>1178192.303-6784</f>
        <v>1171408.303</v>
      </c>
      <c r="AY17" s="17" t="s">
        <v>159</v>
      </c>
      <c r="AZ17" s="16">
        <v>1193263.616</v>
      </c>
      <c r="BA17" s="16"/>
      <c r="BB17" s="59">
        <f>(1184783616-37795704)/1000</f>
        <v>1146987.912</v>
      </c>
      <c r="BC17" s="58" t="s">
        <v>179</v>
      </c>
      <c r="BD17" s="59">
        <f>1123576653/1000</f>
        <v>1123576.653</v>
      </c>
      <c r="BE17" s="58" t="s">
        <v>179</v>
      </c>
      <c r="BF17" s="57">
        <f>1112045760/1000</f>
        <v>1112045.76</v>
      </c>
      <c r="BG17" s="58" t="s">
        <v>179</v>
      </c>
      <c r="BH17" s="21">
        <f>1183839562/1000</f>
        <v>1183839.562</v>
      </c>
      <c r="BI17" s="17"/>
      <c r="BJ17" s="21">
        <f>1237500000/1000</f>
        <v>1237500</v>
      </c>
      <c r="BK17" s="17"/>
      <c r="BL17" s="21">
        <f>1183840000/1000</f>
        <v>1183840</v>
      </c>
      <c r="BM17" s="17"/>
      <c r="BN17" s="21">
        <f>1182120000/1000</f>
        <v>1182120</v>
      </c>
      <c r="BO17" s="17" t="s">
        <v>159</v>
      </c>
      <c r="BP17" s="21">
        <f>1061806920/1000</f>
        <v>1061806.92</v>
      </c>
      <c r="BQ17" s="17" t="s">
        <v>159</v>
      </c>
      <c r="BR17" s="21">
        <f>1008151464/1000</f>
        <v>1008151.464</v>
      </c>
      <c r="BS17" s="17"/>
      <c r="BT17" s="21">
        <f>955591379/1000</f>
        <v>955591.379</v>
      </c>
      <c r="BU17" s="17"/>
    </row>
    <row r="18" spans="4:73" s="1" customFormat="1" ht="12.75">
      <c r="D18" s="18" t="s">
        <v>122</v>
      </c>
      <c r="E18" s="13"/>
      <c r="F18" s="16">
        <v>23562.5</v>
      </c>
      <c r="G18" s="16"/>
      <c r="H18" s="16">
        <v>55750</v>
      </c>
      <c r="I18" s="16"/>
      <c r="J18" s="16">
        <f>F18+H18</f>
        <v>79312.5</v>
      </c>
      <c r="K18" s="16"/>
      <c r="L18" s="16">
        <v>55250</v>
      </c>
      <c r="M18" s="16"/>
      <c r="N18" s="16">
        <v>23925</v>
      </c>
      <c r="O18" s="16"/>
      <c r="P18" s="16">
        <v>50000</v>
      </c>
      <c r="Q18" s="16"/>
      <c r="R18" s="16">
        <v>71805</v>
      </c>
      <c r="S18" s="16"/>
      <c r="T18" s="16">
        <v>56754.6</v>
      </c>
      <c r="U18" s="16"/>
      <c r="V18" s="16">
        <v>92720.6</v>
      </c>
      <c r="W18" s="16"/>
      <c r="X18" s="16">
        <v>105390.349</v>
      </c>
      <c r="Y18" s="16"/>
      <c r="Z18" s="16">
        <v>103197.815</v>
      </c>
      <c r="AA18" s="16"/>
      <c r="AB18" s="16">
        <v>103409.2</v>
      </c>
      <c r="AC18" s="16"/>
      <c r="AD18" s="16">
        <v>223600</v>
      </c>
      <c r="AE18" s="16"/>
      <c r="AF18" s="16">
        <v>245710</v>
      </c>
      <c r="AG18" s="16"/>
      <c r="AH18" s="16">
        <v>213900</v>
      </c>
      <c r="AI18" s="17"/>
      <c r="AJ18" s="16">
        <v>251800</v>
      </c>
      <c r="AK18" s="16"/>
      <c r="AL18" s="16">
        <v>265102</v>
      </c>
      <c r="AM18" s="16"/>
      <c r="AN18" s="16">
        <v>277602</v>
      </c>
      <c r="AO18" s="16"/>
      <c r="AP18" s="16">
        <v>316305</v>
      </c>
      <c r="AQ18" s="16"/>
      <c r="AR18" s="16">
        <v>250508</v>
      </c>
      <c r="AS18" s="16"/>
      <c r="AT18" s="16">
        <f>308422</f>
        <v>308422</v>
      </c>
      <c r="AU18" s="16" t="s">
        <v>158</v>
      </c>
      <c r="AV18" s="16">
        <f>274937.248</f>
        <v>274937.248</v>
      </c>
      <c r="AW18" s="17"/>
      <c r="AX18" s="16">
        <f>276226.813-1696</f>
        <v>274530.813</v>
      </c>
      <c r="AY18" s="17" t="s">
        <v>159</v>
      </c>
      <c r="AZ18" s="16">
        <v>282800.032</v>
      </c>
      <c r="BA18" s="16"/>
      <c r="BB18" s="59">
        <f>156930032/1000</f>
        <v>156930.032</v>
      </c>
      <c r="BC18" s="58" t="s">
        <v>159</v>
      </c>
      <c r="BD18" s="59">
        <f>279972000/1000-BD25</f>
        <v>156222</v>
      </c>
      <c r="BE18" s="58" t="s">
        <v>159</v>
      </c>
      <c r="BF18" s="57">
        <f>278388360/1000-BF25</f>
        <v>155572.11</v>
      </c>
      <c r="BG18" s="58" t="s">
        <v>159</v>
      </c>
      <c r="BH18" s="21">
        <f>(280867493/1000)-BH25</f>
        <v>155867.49300000002</v>
      </c>
      <c r="BI18" s="17"/>
      <c r="BJ18" s="21">
        <f>198000000/1000</f>
        <v>198000</v>
      </c>
      <c r="BK18" s="17"/>
      <c r="BL18" s="21">
        <f>(283051000/1000)-BL25</f>
        <v>158051</v>
      </c>
      <c r="BM18" s="17"/>
      <c r="BN18" s="21">
        <f>(228760000/1000)-BN25</f>
        <v>228760</v>
      </c>
      <c r="BO18" s="17" t="s">
        <v>159</v>
      </c>
      <c r="BP18" s="21">
        <f>(221496344/1000)</f>
        <v>221496.344</v>
      </c>
      <c r="BQ18" s="17" t="s">
        <v>234</v>
      </c>
      <c r="BR18" s="21">
        <f>202384701/1000</f>
        <v>202384.701</v>
      </c>
      <c r="BS18" s="17" t="s">
        <v>234</v>
      </c>
      <c r="BT18" s="21">
        <f>224066428/1000</f>
        <v>224066.428</v>
      </c>
      <c r="BU18" s="17" t="s">
        <v>159</v>
      </c>
    </row>
    <row r="19" spans="4:73" ht="12.75">
      <c r="D19" s="18" t="s">
        <v>10</v>
      </c>
      <c r="E19" s="13"/>
      <c r="F19" s="21" t="s">
        <v>63</v>
      </c>
      <c r="G19" s="16"/>
      <c r="H19" s="21" t="s">
        <v>63</v>
      </c>
      <c r="I19" s="16"/>
      <c r="J19" s="21" t="s">
        <v>63</v>
      </c>
      <c r="K19" s="16"/>
      <c r="L19" s="21" t="s">
        <v>63</v>
      </c>
      <c r="M19" s="16"/>
      <c r="N19" s="21" t="s">
        <v>63</v>
      </c>
      <c r="O19" s="16"/>
      <c r="P19" s="21" t="s">
        <v>63</v>
      </c>
      <c r="Q19" s="16"/>
      <c r="R19" s="21" t="s">
        <v>63</v>
      </c>
      <c r="S19" s="16"/>
      <c r="T19" s="21" t="s">
        <v>63</v>
      </c>
      <c r="U19" s="16"/>
      <c r="V19" s="21" t="s">
        <v>63</v>
      </c>
      <c r="W19" s="16"/>
      <c r="X19" s="21" t="s">
        <v>63</v>
      </c>
      <c r="Y19" s="16"/>
      <c r="Z19" s="21" t="s">
        <v>63</v>
      </c>
      <c r="AA19" s="16"/>
      <c r="AB19" s="21" t="s">
        <v>63</v>
      </c>
      <c r="AC19" s="16"/>
      <c r="AD19" s="21" t="s">
        <v>63</v>
      </c>
      <c r="AE19" s="16"/>
      <c r="AF19" s="21" t="s">
        <v>63</v>
      </c>
      <c r="AG19" s="16"/>
      <c r="AH19" s="21" t="s">
        <v>63</v>
      </c>
      <c r="AI19" s="16"/>
      <c r="AJ19" s="19" t="s">
        <v>63</v>
      </c>
      <c r="AK19" s="16"/>
      <c r="AL19" s="19" t="s">
        <v>63</v>
      </c>
      <c r="AM19" s="17" t="s">
        <v>158</v>
      </c>
      <c r="AN19" s="19">
        <f>6500-5000</f>
        <v>1500</v>
      </c>
      <c r="AO19" s="17" t="s">
        <v>159</v>
      </c>
      <c r="AP19" s="19">
        <v>1500</v>
      </c>
      <c r="AQ19" s="17"/>
      <c r="AR19" s="21" t="s">
        <v>63</v>
      </c>
      <c r="AS19" s="16"/>
      <c r="AT19" s="21" t="s">
        <v>63</v>
      </c>
      <c r="AU19" s="16"/>
      <c r="AV19" s="21" t="s">
        <v>63</v>
      </c>
      <c r="AW19" s="17"/>
      <c r="AX19" s="21" t="s">
        <v>63</v>
      </c>
      <c r="AY19" s="17"/>
      <c r="AZ19" s="19"/>
      <c r="BA19" s="17"/>
      <c r="BB19" s="57" t="s">
        <v>63</v>
      </c>
      <c r="BC19" s="58"/>
      <c r="BD19" s="57" t="s">
        <v>63</v>
      </c>
      <c r="BE19" s="17"/>
      <c r="BF19" s="57" t="s">
        <v>63</v>
      </c>
      <c r="BG19" s="57"/>
      <c r="BH19" s="21" t="s">
        <v>63</v>
      </c>
      <c r="BI19" s="21"/>
      <c r="BJ19" s="21" t="s">
        <v>63</v>
      </c>
      <c r="BK19" s="21"/>
      <c r="BL19" s="21" t="s">
        <v>63</v>
      </c>
      <c r="BM19" s="21"/>
      <c r="BN19" s="21" t="s">
        <v>63</v>
      </c>
      <c r="BO19" s="21"/>
      <c r="BP19" s="21" t="s">
        <v>63</v>
      </c>
      <c r="BQ19" s="21"/>
      <c r="BR19" s="21" t="s">
        <v>63</v>
      </c>
      <c r="BS19" s="21"/>
      <c r="BT19" s="21" t="s">
        <v>63</v>
      </c>
      <c r="BU19" s="21"/>
    </row>
    <row r="20" spans="4:73" ht="12.75">
      <c r="D20" s="18" t="s">
        <v>11</v>
      </c>
      <c r="E20" s="13"/>
      <c r="F20" s="21" t="s">
        <v>63</v>
      </c>
      <c r="G20" s="16"/>
      <c r="H20" s="21" t="s">
        <v>63</v>
      </c>
      <c r="I20" s="16"/>
      <c r="J20" s="21" t="s">
        <v>63</v>
      </c>
      <c r="K20" s="16"/>
      <c r="L20" s="21" t="s">
        <v>63</v>
      </c>
      <c r="M20" s="16"/>
      <c r="N20" s="21" t="s">
        <v>63</v>
      </c>
      <c r="O20" s="16"/>
      <c r="P20" s="21" t="s">
        <v>63</v>
      </c>
      <c r="Q20" s="16"/>
      <c r="R20" s="21" t="s">
        <v>63</v>
      </c>
      <c r="S20" s="16"/>
      <c r="T20" s="21" t="s">
        <v>63</v>
      </c>
      <c r="U20" s="16"/>
      <c r="V20" s="21" t="s">
        <v>63</v>
      </c>
      <c r="W20" s="16"/>
      <c r="X20" s="21" t="s">
        <v>63</v>
      </c>
      <c r="Y20" s="16"/>
      <c r="Z20" s="16">
        <v>50000</v>
      </c>
      <c r="AA20" s="16"/>
      <c r="AB20" s="16">
        <v>49600</v>
      </c>
      <c r="AC20" s="16"/>
      <c r="AD20" s="21" t="s">
        <v>63</v>
      </c>
      <c r="AE20" s="16"/>
      <c r="AF20" s="21" t="s">
        <v>63</v>
      </c>
      <c r="AG20" s="16"/>
      <c r="AH20" s="21" t="s">
        <v>63</v>
      </c>
      <c r="AI20" s="16"/>
      <c r="AJ20" s="21" t="s">
        <v>63</v>
      </c>
      <c r="AK20" s="16"/>
      <c r="AL20" s="21" t="s">
        <v>63</v>
      </c>
      <c r="AM20" s="16"/>
      <c r="AN20" s="21" t="s">
        <v>63</v>
      </c>
      <c r="AO20" s="16"/>
      <c r="AP20" s="21" t="s">
        <v>63</v>
      </c>
      <c r="AQ20" s="16"/>
      <c r="AR20" s="21" t="s">
        <v>63</v>
      </c>
      <c r="AS20" s="16"/>
      <c r="AT20" s="21" t="s">
        <v>63</v>
      </c>
      <c r="AU20" s="16"/>
      <c r="AV20" s="21" t="s">
        <v>63</v>
      </c>
      <c r="AW20" s="17"/>
      <c r="AX20" s="21" t="s">
        <v>63</v>
      </c>
      <c r="AY20" s="17"/>
      <c r="AZ20" s="16"/>
      <c r="BA20" s="16"/>
      <c r="BB20" s="57" t="s">
        <v>63</v>
      </c>
      <c r="BC20" s="58"/>
      <c r="BD20" s="57" t="s">
        <v>63</v>
      </c>
      <c r="BE20" s="17"/>
      <c r="BF20" s="57" t="s">
        <v>63</v>
      </c>
      <c r="BG20" s="57"/>
      <c r="BH20" s="21" t="s">
        <v>63</v>
      </c>
      <c r="BI20" s="21"/>
      <c r="BJ20" s="21" t="s">
        <v>63</v>
      </c>
      <c r="BK20" s="21"/>
      <c r="BL20" s="21" t="s">
        <v>63</v>
      </c>
      <c r="BM20" s="21"/>
      <c r="BN20" s="21" t="s">
        <v>63</v>
      </c>
      <c r="BO20" s="21"/>
      <c r="BP20" s="21" t="s">
        <v>63</v>
      </c>
      <c r="BQ20" s="21"/>
      <c r="BR20" s="21" t="s">
        <v>63</v>
      </c>
      <c r="BS20" s="21"/>
      <c r="BT20" s="21" t="s">
        <v>63</v>
      </c>
      <c r="BU20" s="21"/>
    </row>
    <row r="21" spans="4:73" ht="12.75">
      <c r="D21" s="18" t="s">
        <v>12</v>
      </c>
      <c r="E21" s="13"/>
      <c r="F21" s="21" t="s">
        <v>63</v>
      </c>
      <c r="G21" s="16"/>
      <c r="H21" s="21" t="s">
        <v>63</v>
      </c>
      <c r="I21" s="16"/>
      <c r="J21" s="21" t="s">
        <v>63</v>
      </c>
      <c r="K21" s="16"/>
      <c r="L21" s="21" t="s">
        <v>63</v>
      </c>
      <c r="M21" s="16"/>
      <c r="N21" s="21" t="s">
        <v>63</v>
      </c>
      <c r="O21" s="16"/>
      <c r="P21" s="21" t="s">
        <v>63</v>
      </c>
      <c r="Q21" s="16"/>
      <c r="R21" s="21" t="s">
        <v>63</v>
      </c>
      <c r="S21" s="16"/>
      <c r="T21" s="21" t="s">
        <v>63</v>
      </c>
      <c r="U21" s="16"/>
      <c r="V21" s="21" t="s">
        <v>63</v>
      </c>
      <c r="W21" s="16"/>
      <c r="X21" s="21" t="s">
        <v>63</v>
      </c>
      <c r="Y21" s="16"/>
      <c r="Z21" s="21" t="s">
        <v>63</v>
      </c>
      <c r="AA21" s="16"/>
      <c r="AB21" s="16">
        <v>84600</v>
      </c>
      <c r="AC21" s="17" t="s">
        <v>159</v>
      </c>
      <c r="AD21" s="16">
        <v>33000</v>
      </c>
      <c r="AE21" s="17" t="s">
        <v>158</v>
      </c>
      <c r="AF21" s="21" t="s">
        <v>63</v>
      </c>
      <c r="AG21" s="16"/>
      <c r="AH21" s="21" t="s">
        <v>63</v>
      </c>
      <c r="AI21" s="16"/>
      <c r="AJ21" s="21" t="s">
        <v>63</v>
      </c>
      <c r="AK21" s="16"/>
      <c r="AL21" s="21" t="s">
        <v>63</v>
      </c>
      <c r="AM21" s="16"/>
      <c r="AN21" s="21" t="s">
        <v>63</v>
      </c>
      <c r="AO21" s="16"/>
      <c r="AP21" s="21" t="s">
        <v>63</v>
      </c>
      <c r="AQ21" s="16"/>
      <c r="AR21" s="21" t="s">
        <v>63</v>
      </c>
      <c r="AS21" s="16"/>
      <c r="AT21" s="21" t="s">
        <v>63</v>
      </c>
      <c r="AU21" s="16"/>
      <c r="AV21" s="21" t="s">
        <v>63</v>
      </c>
      <c r="AW21" s="17"/>
      <c r="AX21" s="21" t="s">
        <v>63</v>
      </c>
      <c r="AY21" s="17"/>
      <c r="AZ21" s="16"/>
      <c r="BA21" s="16"/>
      <c r="BB21" s="57" t="s">
        <v>63</v>
      </c>
      <c r="BC21" s="58"/>
      <c r="BD21" s="57" t="s">
        <v>63</v>
      </c>
      <c r="BE21" s="17"/>
      <c r="BF21" s="57" t="s">
        <v>63</v>
      </c>
      <c r="BG21" s="57"/>
      <c r="BH21" s="21" t="s">
        <v>63</v>
      </c>
      <c r="BI21" s="21"/>
      <c r="BJ21" s="21" t="s">
        <v>63</v>
      </c>
      <c r="BK21" s="21"/>
      <c r="BL21" s="21" t="s">
        <v>63</v>
      </c>
      <c r="BM21" s="21"/>
      <c r="BN21" s="21" t="s">
        <v>63</v>
      </c>
      <c r="BO21" s="21"/>
      <c r="BP21" s="21" t="s">
        <v>63</v>
      </c>
      <c r="BQ21" s="21"/>
      <c r="BR21" s="21" t="s">
        <v>63</v>
      </c>
      <c r="BS21" s="21"/>
      <c r="BT21" s="21" t="s">
        <v>63</v>
      </c>
      <c r="BU21" s="21"/>
    </row>
    <row r="22" spans="4:73" ht="12.75">
      <c r="D22" s="18" t="s">
        <v>116</v>
      </c>
      <c r="E22" s="13"/>
      <c r="F22" s="21" t="s">
        <v>63</v>
      </c>
      <c r="G22" s="16"/>
      <c r="H22" s="21" t="s">
        <v>63</v>
      </c>
      <c r="I22" s="16"/>
      <c r="J22" s="21" t="s">
        <v>63</v>
      </c>
      <c r="K22" s="16"/>
      <c r="L22" s="21" t="s">
        <v>63</v>
      </c>
      <c r="M22" s="16"/>
      <c r="N22" s="21" t="s">
        <v>63</v>
      </c>
      <c r="O22" s="16"/>
      <c r="P22" s="21" t="s">
        <v>63</v>
      </c>
      <c r="Q22" s="16"/>
      <c r="R22" s="21" t="s">
        <v>63</v>
      </c>
      <c r="S22" s="16"/>
      <c r="T22" s="21" t="s">
        <v>63</v>
      </c>
      <c r="U22" s="16"/>
      <c r="V22" s="21" t="s">
        <v>63</v>
      </c>
      <c r="W22" s="16"/>
      <c r="X22" s="21" t="s">
        <v>63</v>
      </c>
      <c r="Y22" s="16"/>
      <c r="Z22" s="21" t="s">
        <v>63</v>
      </c>
      <c r="AA22" s="16"/>
      <c r="AB22" s="21" t="s">
        <v>63</v>
      </c>
      <c r="AC22" s="16"/>
      <c r="AD22" s="21" t="s">
        <v>63</v>
      </c>
      <c r="AE22" s="16"/>
      <c r="AF22" s="21" t="s">
        <v>63</v>
      </c>
      <c r="AG22" s="16"/>
      <c r="AH22" s="21" t="s">
        <v>63</v>
      </c>
      <c r="AI22" s="16"/>
      <c r="AJ22" s="19" t="s">
        <v>63</v>
      </c>
      <c r="AK22" s="16"/>
      <c r="AL22" s="21" t="s">
        <v>63</v>
      </c>
      <c r="AM22" s="16"/>
      <c r="AN22" s="21" t="s">
        <v>63</v>
      </c>
      <c r="AO22" s="16"/>
      <c r="AP22" s="21" t="s">
        <v>63</v>
      </c>
      <c r="AQ22" s="16"/>
      <c r="AR22" s="16">
        <f>25000-3589</f>
        <v>21411</v>
      </c>
      <c r="AS22" s="16" t="s">
        <v>158</v>
      </c>
      <c r="AT22" s="16">
        <v>0</v>
      </c>
      <c r="AU22" s="16"/>
      <c r="AV22" s="16">
        <v>0</v>
      </c>
      <c r="AW22" s="17"/>
      <c r="AX22" s="21" t="s">
        <v>63</v>
      </c>
      <c r="AY22" s="17"/>
      <c r="AZ22" s="16"/>
      <c r="BA22" s="16"/>
      <c r="BB22" s="57" t="s">
        <v>63</v>
      </c>
      <c r="BC22" s="58"/>
      <c r="BD22" s="57" t="s">
        <v>63</v>
      </c>
      <c r="BE22" s="17"/>
      <c r="BF22" s="57" t="s">
        <v>63</v>
      </c>
      <c r="BG22" s="57"/>
      <c r="BH22" s="21" t="s">
        <v>63</v>
      </c>
      <c r="BI22" s="21"/>
      <c r="BJ22" s="21" t="s">
        <v>63</v>
      </c>
      <c r="BK22" s="21"/>
      <c r="BL22" s="21" t="s">
        <v>63</v>
      </c>
      <c r="BM22" s="21"/>
      <c r="BN22" s="21" t="s">
        <v>63</v>
      </c>
      <c r="BO22" s="21"/>
      <c r="BP22" s="21" t="s">
        <v>63</v>
      </c>
      <c r="BQ22" s="21"/>
      <c r="BR22" s="21" t="s">
        <v>63</v>
      </c>
      <c r="BS22" s="21"/>
      <c r="BT22" s="21" t="s">
        <v>63</v>
      </c>
      <c r="BU22" s="21"/>
    </row>
    <row r="23" spans="4:73" ht="12.75">
      <c r="D23" s="18" t="s">
        <v>120</v>
      </c>
      <c r="E23" s="18"/>
      <c r="F23" s="21" t="s">
        <v>63</v>
      </c>
      <c r="G23" s="16"/>
      <c r="H23" s="21" t="s">
        <v>63</v>
      </c>
      <c r="I23" s="16"/>
      <c r="J23" s="21" t="s">
        <v>63</v>
      </c>
      <c r="K23" s="16"/>
      <c r="L23" s="21" t="s">
        <v>63</v>
      </c>
      <c r="M23" s="16"/>
      <c r="N23" s="21" t="s">
        <v>63</v>
      </c>
      <c r="O23" s="16"/>
      <c r="P23" s="21" t="s">
        <v>63</v>
      </c>
      <c r="Q23" s="16"/>
      <c r="R23" s="21" t="s">
        <v>63</v>
      </c>
      <c r="S23" s="16"/>
      <c r="T23" s="21" t="s">
        <v>63</v>
      </c>
      <c r="U23" s="16"/>
      <c r="V23" s="21" t="s">
        <v>63</v>
      </c>
      <c r="W23" s="16"/>
      <c r="X23" s="21" t="s">
        <v>63</v>
      </c>
      <c r="Y23" s="16"/>
      <c r="Z23" s="21" t="s">
        <v>63</v>
      </c>
      <c r="AA23" s="16"/>
      <c r="AB23" s="21" t="s">
        <v>63</v>
      </c>
      <c r="AC23" s="16"/>
      <c r="AD23" s="21" t="s">
        <v>63</v>
      </c>
      <c r="AE23" s="16"/>
      <c r="AF23" s="21" t="s">
        <v>63</v>
      </c>
      <c r="AG23" s="16"/>
      <c r="AH23" s="21" t="s">
        <v>63</v>
      </c>
      <c r="AI23" s="16"/>
      <c r="AJ23" s="19" t="s">
        <v>63</v>
      </c>
      <c r="AK23" s="16"/>
      <c r="AL23" s="21" t="s">
        <v>63</v>
      </c>
      <c r="AM23" s="16"/>
      <c r="AN23" s="21" t="s">
        <v>63</v>
      </c>
      <c r="AO23" s="16"/>
      <c r="AP23" s="21" t="s">
        <v>63</v>
      </c>
      <c r="AQ23" s="16"/>
      <c r="AR23" s="21" t="s">
        <v>63</v>
      </c>
      <c r="AS23" s="16"/>
      <c r="AT23" s="16">
        <v>50000</v>
      </c>
      <c r="AU23" s="16" t="s">
        <v>159</v>
      </c>
      <c r="AV23" s="16">
        <v>0</v>
      </c>
      <c r="AW23" s="17"/>
      <c r="AX23" s="21" t="s">
        <v>63</v>
      </c>
      <c r="AY23" s="17"/>
      <c r="AZ23" s="16"/>
      <c r="BA23" s="16"/>
      <c r="BB23" s="57" t="s">
        <v>63</v>
      </c>
      <c r="BC23" s="58"/>
      <c r="BD23" s="57" t="s">
        <v>63</v>
      </c>
      <c r="BE23" s="17"/>
      <c r="BF23" s="57" t="s">
        <v>63</v>
      </c>
      <c r="BG23" s="57"/>
      <c r="BH23" s="21" t="s">
        <v>63</v>
      </c>
      <c r="BI23" s="21"/>
      <c r="BJ23" s="21" t="s">
        <v>63</v>
      </c>
      <c r="BK23" s="21"/>
      <c r="BL23" s="21" t="s">
        <v>63</v>
      </c>
      <c r="BM23" s="21"/>
      <c r="BN23" s="21" t="s">
        <v>63</v>
      </c>
      <c r="BO23" s="21"/>
      <c r="BP23" s="21" t="s">
        <v>63</v>
      </c>
      <c r="BQ23" s="21"/>
      <c r="BR23" s="21" t="s">
        <v>63</v>
      </c>
      <c r="BS23" s="21"/>
      <c r="BT23" s="21" t="s">
        <v>63</v>
      </c>
      <c r="BU23" s="21"/>
    </row>
    <row r="24" spans="4:73" ht="12.75">
      <c r="D24" s="18" t="s">
        <v>121</v>
      </c>
      <c r="E24" s="13"/>
      <c r="F24" s="21" t="s">
        <v>63</v>
      </c>
      <c r="G24" s="16"/>
      <c r="H24" s="21" t="s">
        <v>63</v>
      </c>
      <c r="I24" s="16"/>
      <c r="J24" s="21" t="s">
        <v>63</v>
      </c>
      <c r="K24" s="16"/>
      <c r="L24" s="21" t="s">
        <v>63</v>
      </c>
      <c r="M24" s="16"/>
      <c r="N24" s="21" t="s">
        <v>63</v>
      </c>
      <c r="O24" s="16"/>
      <c r="P24" s="21" t="s">
        <v>63</v>
      </c>
      <c r="Q24" s="16"/>
      <c r="R24" s="21" t="s">
        <v>63</v>
      </c>
      <c r="S24" s="16"/>
      <c r="T24" s="21" t="s">
        <v>63</v>
      </c>
      <c r="U24" s="16"/>
      <c r="V24" s="21" t="s">
        <v>63</v>
      </c>
      <c r="W24" s="16"/>
      <c r="X24" s="21" t="s">
        <v>63</v>
      </c>
      <c r="Y24" s="16"/>
      <c r="Z24" s="21" t="s">
        <v>63</v>
      </c>
      <c r="AA24" s="16"/>
      <c r="AB24" s="21" t="s">
        <v>63</v>
      </c>
      <c r="AC24" s="16"/>
      <c r="AD24" s="21" t="s">
        <v>63</v>
      </c>
      <c r="AE24" s="16"/>
      <c r="AF24" s="21" t="s">
        <v>63</v>
      </c>
      <c r="AG24" s="16"/>
      <c r="AH24" s="21" t="s">
        <v>63</v>
      </c>
      <c r="AI24" s="16"/>
      <c r="AJ24" s="19" t="s">
        <v>63</v>
      </c>
      <c r="AK24" s="16"/>
      <c r="AL24" s="21" t="s">
        <v>63</v>
      </c>
      <c r="AM24" s="16"/>
      <c r="AN24" s="21" t="s">
        <v>63</v>
      </c>
      <c r="AO24" s="16"/>
      <c r="AP24" s="21" t="s">
        <v>63</v>
      </c>
      <c r="AQ24" s="16"/>
      <c r="AR24" s="21" t="s">
        <v>63</v>
      </c>
      <c r="AS24" s="16"/>
      <c r="AT24" s="16">
        <v>10000</v>
      </c>
      <c r="AU24" s="16" t="s">
        <v>159</v>
      </c>
      <c r="AV24" s="16">
        <v>29805</v>
      </c>
      <c r="AW24" s="17"/>
      <c r="AX24" s="21" t="s">
        <v>63</v>
      </c>
      <c r="AY24" s="17"/>
      <c r="AZ24" s="16"/>
      <c r="BA24" s="16"/>
      <c r="BB24" s="57" t="s">
        <v>63</v>
      </c>
      <c r="BC24" s="58"/>
      <c r="BD24" s="57" t="s">
        <v>63</v>
      </c>
      <c r="BE24" s="17"/>
      <c r="BF24" s="57" t="s">
        <v>63</v>
      </c>
      <c r="BG24" s="57"/>
      <c r="BH24" s="21" t="s">
        <v>63</v>
      </c>
      <c r="BI24" s="21"/>
      <c r="BJ24" s="21" t="s">
        <v>63</v>
      </c>
      <c r="BK24" s="21"/>
      <c r="BL24" s="21" t="s">
        <v>63</v>
      </c>
      <c r="BM24" s="21"/>
      <c r="BN24" s="21" t="s">
        <v>63</v>
      </c>
      <c r="BO24" s="21"/>
      <c r="BP24" s="21" t="s">
        <v>63</v>
      </c>
      <c r="BQ24" s="21"/>
      <c r="BR24" s="21" t="s">
        <v>63</v>
      </c>
      <c r="BS24" s="21"/>
      <c r="BT24" s="21" t="s">
        <v>63</v>
      </c>
      <c r="BU24" s="21"/>
    </row>
    <row r="25" spans="4:73" ht="12.75">
      <c r="D25" s="18" t="s">
        <v>125</v>
      </c>
      <c r="E25" s="13"/>
      <c r="F25" s="21" t="s">
        <v>63</v>
      </c>
      <c r="G25" s="16"/>
      <c r="H25" s="21" t="s">
        <v>63</v>
      </c>
      <c r="I25" s="16"/>
      <c r="J25" s="21" t="s">
        <v>63</v>
      </c>
      <c r="K25" s="16"/>
      <c r="L25" s="21" t="s">
        <v>63</v>
      </c>
      <c r="M25" s="16"/>
      <c r="N25" s="21" t="s">
        <v>63</v>
      </c>
      <c r="O25" s="16"/>
      <c r="P25" s="21" t="s">
        <v>63</v>
      </c>
      <c r="Q25" s="16"/>
      <c r="R25" s="21" t="s">
        <v>63</v>
      </c>
      <c r="S25" s="16"/>
      <c r="T25" s="21" t="s">
        <v>63</v>
      </c>
      <c r="U25" s="16"/>
      <c r="V25" s="21" t="s">
        <v>63</v>
      </c>
      <c r="W25" s="16"/>
      <c r="X25" s="21" t="s">
        <v>63</v>
      </c>
      <c r="Y25" s="16"/>
      <c r="Z25" s="21" t="s">
        <v>63</v>
      </c>
      <c r="AA25" s="16"/>
      <c r="AB25" s="21" t="s">
        <v>63</v>
      </c>
      <c r="AC25" s="16"/>
      <c r="AD25" s="21" t="s">
        <v>63</v>
      </c>
      <c r="AE25" s="16"/>
      <c r="AF25" s="21" t="s">
        <v>63</v>
      </c>
      <c r="AG25" s="16"/>
      <c r="AH25" s="21" t="s">
        <v>63</v>
      </c>
      <c r="AI25" s="16"/>
      <c r="AJ25" s="21" t="s">
        <v>63</v>
      </c>
      <c r="AK25" s="16"/>
      <c r="AL25" s="21" t="s">
        <v>63</v>
      </c>
      <c r="AM25" s="16"/>
      <c r="AN25" s="21" t="s">
        <v>63</v>
      </c>
      <c r="AO25" s="16"/>
      <c r="AP25" s="21" t="s">
        <v>63</v>
      </c>
      <c r="AQ25" s="16"/>
      <c r="AR25" s="21" t="s">
        <v>63</v>
      </c>
      <c r="AS25" s="16"/>
      <c r="AT25" s="21" t="s">
        <v>63</v>
      </c>
      <c r="AU25" s="16"/>
      <c r="AV25" s="21" t="s">
        <v>63</v>
      </c>
      <c r="AW25" s="17"/>
      <c r="AX25" s="21" t="s">
        <v>63</v>
      </c>
      <c r="AY25" s="17"/>
      <c r="AZ25" s="16"/>
      <c r="BA25" s="16"/>
      <c r="BB25" s="59">
        <v>0</v>
      </c>
      <c r="BC25" s="58" t="s">
        <v>161</v>
      </c>
      <c r="BD25" s="59">
        <f>123750000/1000</f>
        <v>123750</v>
      </c>
      <c r="BE25" s="17" t="s">
        <v>159</v>
      </c>
      <c r="BF25" s="57">
        <f>122816250/1000</f>
        <v>122816.25</v>
      </c>
      <c r="BG25" s="58" t="s">
        <v>159</v>
      </c>
      <c r="BH25" s="21">
        <f>125000000/1000</f>
        <v>125000</v>
      </c>
      <c r="BI25" s="17"/>
      <c r="BJ25" s="21" t="s">
        <v>63</v>
      </c>
      <c r="BK25" s="17"/>
      <c r="BL25" s="21">
        <f>125000000/1000</f>
        <v>125000</v>
      </c>
      <c r="BM25" s="17"/>
      <c r="BN25" s="21">
        <v>0</v>
      </c>
      <c r="BO25" s="17" t="s">
        <v>160</v>
      </c>
      <c r="BP25" s="21" t="s">
        <v>63</v>
      </c>
      <c r="BQ25" s="17"/>
      <c r="BR25" s="21" t="s">
        <v>63</v>
      </c>
      <c r="BS25" s="17"/>
      <c r="BT25" s="21" t="s">
        <v>63</v>
      </c>
      <c r="BU25" s="17"/>
    </row>
    <row r="26" spans="4:73" ht="12.75">
      <c r="D26" s="18" t="s">
        <v>170</v>
      </c>
      <c r="E26" s="13"/>
      <c r="F26" s="21" t="s">
        <v>63</v>
      </c>
      <c r="G26" s="16"/>
      <c r="H26" s="21" t="s">
        <v>63</v>
      </c>
      <c r="I26" s="16"/>
      <c r="J26" s="21" t="s">
        <v>63</v>
      </c>
      <c r="K26" s="16"/>
      <c r="L26" s="21" t="s">
        <v>63</v>
      </c>
      <c r="M26" s="16"/>
      <c r="N26" s="21" t="s">
        <v>63</v>
      </c>
      <c r="O26" s="16"/>
      <c r="P26" s="21" t="s">
        <v>63</v>
      </c>
      <c r="Q26" s="16"/>
      <c r="R26" s="21" t="s">
        <v>63</v>
      </c>
      <c r="S26" s="16"/>
      <c r="T26" s="21" t="s">
        <v>63</v>
      </c>
      <c r="U26" s="16"/>
      <c r="V26" s="21" t="s">
        <v>63</v>
      </c>
      <c r="W26" s="16"/>
      <c r="X26" s="21" t="s">
        <v>63</v>
      </c>
      <c r="Y26" s="16"/>
      <c r="Z26" s="21" t="s">
        <v>63</v>
      </c>
      <c r="AA26" s="16"/>
      <c r="AB26" s="21" t="s">
        <v>63</v>
      </c>
      <c r="AC26" s="16"/>
      <c r="AD26" s="21" t="s">
        <v>63</v>
      </c>
      <c r="AE26" s="16"/>
      <c r="AF26" s="21" t="s">
        <v>63</v>
      </c>
      <c r="AG26" s="16"/>
      <c r="AH26" s="21" t="s">
        <v>63</v>
      </c>
      <c r="AI26" s="16"/>
      <c r="AJ26" s="21" t="s">
        <v>63</v>
      </c>
      <c r="AK26" s="16"/>
      <c r="AL26" s="21" t="s">
        <v>63</v>
      </c>
      <c r="AM26" s="16"/>
      <c r="AN26" s="21" t="s">
        <v>63</v>
      </c>
      <c r="AO26" s="16"/>
      <c r="AP26" s="21" t="s">
        <v>63</v>
      </c>
      <c r="AQ26" s="16"/>
      <c r="AR26" s="21" t="s">
        <v>63</v>
      </c>
      <c r="AS26" s="16"/>
      <c r="AT26" s="21" t="s">
        <v>63</v>
      </c>
      <c r="AU26" s="16"/>
      <c r="AV26" s="21" t="s">
        <v>63</v>
      </c>
      <c r="AW26" s="17"/>
      <c r="AX26" s="21" t="s">
        <v>63</v>
      </c>
      <c r="AY26" s="17"/>
      <c r="AZ26" s="16"/>
      <c r="BA26" s="16"/>
      <c r="BB26" s="21" t="s">
        <v>63</v>
      </c>
      <c r="BC26" s="58"/>
      <c r="BD26" s="59">
        <f>125000000/1000</f>
        <v>125000</v>
      </c>
      <c r="BE26" s="58" t="s">
        <v>161</v>
      </c>
      <c r="BF26" s="57" t="s">
        <v>63</v>
      </c>
      <c r="BG26" s="57"/>
      <c r="BH26" s="21" t="s">
        <v>63</v>
      </c>
      <c r="BI26" s="21"/>
      <c r="BJ26" s="21" t="s">
        <v>63</v>
      </c>
      <c r="BK26" s="21"/>
      <c r="BL26" s="21" t="s">
        <v>63</v>
      </c>
      <c r="BM26" s="21"/>
      <c r="BN26" s="21" t="s">
        <v>63</v>
      </c>
      <c r="BO26" s="21"/>
      <c r="BP26" s="21" t="s">
        <v>63</v>
      </c>
      <c r="BQ26" s="21"/>
      <c r="BR26" s="21" t="s">
        <v>63</v>
      </c>
      <c r="BS26" s="21"/>
      <c r="BT26" s="21" t="s">
        <v>63</v>
      </c>
      <c r="BU26" s="21"/>
    </row>
    <row r="27" spans="4:73" ht="12.75">
      <c r="D27" s="18" t="s">
        <v>241</v>
      </c>
      <c r="E27" s="13"/>
      <c r="F27" s="21"/>
      <c r="G27" s="16"/>
      <c r="H27" s="21"/>
      <c r="I27" s="16"/>
      <c r="J27" s="21"/>
      <c r="K27" s="16"/>
      <c r="L27" s="21"/>
      <c r="M27" s="16"/>
      <c r="N27" s="21"/>
      <c r="O27" s="16"/>
      <c r="P27" s="21"/>
      <c r="Q27" s="16"/>
      <c r="R27" s="21"/>
      <c r="S27" s="16"/>
      <c r="T27" s="21"/>
      <c r="U27" s="16"/>
      <c r="V27" s="21"/>
      <c r="W27" s="16"/>
      <c r="X27" s="21"/>
      <c r="Y27" s="16"/>
      <c r="Z27" s="21"/>
      <c r="AA27" s="16"/>
      <c r="AB27" s="21"/>
      <c r="AC27" s="16"/>
      <c r="AD27" s="21"/>
      <c r="AE27" s="16"/>
      <c r="AF27" s="21"/>
      <c r="AG27" s="16"/>
      <c r="AH27" s="21"/>
      <c r="AI27" s="16"/>
      <c r="AJ27" s="21"/>
      <c r="AK27" s="16"/>
      <c r="AL27" s="21"/>
      <c r="AM27" s="16"/>
      <c r="AN27" s="21"/>
      <c r="AO27" s="16"/>
      <c r="AP27" s="21"/>
      <c r="AQ27" s="16"/>
      <c r="AR27" s="21"/>
      <c r="AS27" s="16"/>
      <c r="AT27" s="21"/>
      <c r="AU27" s="16"/>
      <c r="AV27" s="21"/>
      <c r="AW27" s="17"/>
      <c r="AX27" s="21"/>
      <c r="AY27" s="17"/>
      <c r="AZ27" s="16"/>
      <c r="BA27" s="16"/>
      <c r="BB27" s="21"/>
      <c r="BC27" s="58"/>
      <c r="BD27" s="59"/>
      <c r="BE27" s="58"/>
      <c r="BF27" s="57"/>
      <c r="BG27" s="57"/>
      <c r="BH27" s="21"/>
      <c r="BI27" s="21"/>
      <c r="BJ27" s="21"/>
      <c r="BK27" s="21"/>
      <c r="BL27" s="21"/>
      <c r="BM27" s="21"/>
      <c r="BN27" s="21"/>
      <c r="BO27" s="21"/>
      <c r="BP27" s="21"/>
      <c r="BQ27" s="21"/>
      <c r="BR27" s="21"/>
      <c r="BS27" s="21"/>
      <c r="BT27" s="21">
        <f>20494622/1000</f>
        <v>20494.622</v>
      </c>
      <c r="BU27" s="17" t="s">
        <v>160</v>
      </c>
    </row>
    <row r="28" spans="3:73" ht="12.75">
      <c r="C28" s="11" t="s">
        <v>64</v>
      </c>
      <c r="D28" s="13"/>
      <c r="E28" s="13"/>
      <c r="F28" s="16">
        <f>SUM(F29:F33)</f>
        <v>824549</v>
      </c>
      <c r="G28" s="16"/>
      <c r="H28" s="16">
        <f>SUM(H29:H33)</f>
        <v>724549</v>
      </c>
      <c r="I28" s="16"/>
      <c r="J28" s="16">
        <f>SUM(J29:J33)</f>
        <v>1549098</v>
      </c>
      <c r="K28" s="16"/>
      <c r="L28" s="16">
        <f>SUM(L29:L33)</f>
        <v>824549</v>
      </c>
      <c r="M28" s="16"/>
      <c r="N28" s="16">
        <f>SUM(N29:N33)</f>
        <v>635976</v>
      </c>
      <c r="O28" s="16"/>
      <c r="P28" s="16">
        <f>SUM(P29:P33)</f>
        <v>750000</v>
      </c>
      <c r="Q28" s="16"/>
      <c r="R28" s="16">
        <f>SUM(R29:R33)</f>
        <v>718050</v>
      </c>
      <c r="S28" s="16"/>
      <c r="T28" s="16">
        <f>SUM(T29:T33)</f>
        <v>709433</v>
      </c>
      <c r="U28" s="16"/>
      <c r="V28" s="16">
        <f>SUM(V29:V33)</f>
        <v>699777</v>
      </c>
      <c r="W28" s="16"/>
      <c r="X28" s="16">
        <f>SUM(X29:X33)</f>
        <v>1182880</v>
      </c>
      <c r="Y28" s="16"/>
      <c r="Z28" s="16">
        <f>SUM(Z29:Z33)</f>
        <v>661712</v>
      </c>
      <c r="AA28" s="16"/>
      <c r="AB28" s="16">
        <f>SUM(AB29:AB33)</f>
        <v>1535056</v>
      </c>
      <c r="AC28" s="17"/>
      <c r="AD28" s="16">
        <f>SUM(AD29:AD33)</f>
        <v>1496964</v>
      </c>
      <c r="AE28" s="17"/>
      <c r="AF28" s="16">
        <f>SUM(AF29:AF33)</f>
        <v>311460</v>
      </c>
      <c r="AG28" s="16"/>
      <c r="AH28" s="16">
        <f>SUM(AH29:AH33)</f>
        <v>751672</v>
      </c>
      <c r="AI28" s="16"/>
      <c r="AJ28" s="16">
        <f>SUM(AJ29:AJ33)</f>
        <v>997672</v>
      </c>
      <c r="AK28" s="16"/>
      <c r="AL28" s="16">
        <f>SUM(AL29:AL33)</f>
        <v>1000965</v>
      </c>
      <c r="AM28" s="16"/>
      <c r="AN28" s="16">
        <f>SUM(AN29:AN33)</f>
        <v>1250965</v>
      </c>
      <c r="AO28" s="16"/>
      <c r="AP28" s="16">
        <f>SUM(AP29:AP33)</f>
        <v>1250965</v>
      </c>
      <c r="AQ28" s="16"/>
      <c r="AR28" s="16">
        <f>SUM(AR29:AR33)</f>
        <v>1377965</v>
      </c>
      <c r="AS28" s="16"/>
      <c r="AT28" s="16">
        <f>SUM(AT29:AT33)</f>
        <v>1353065</v>
      </c>
      <c r="AU28" s="16"/>
      <c r="AV28" s="16">
        <f>SUM(AV29:AV33)</f>
        <v>1038669.477</v>
      </c>
      <c r="AW28" s="17"/>
      <c r="AX28" s="16">
        <f>SUM(AX29:AX33)</f>
        <v>995059.306</v>
      </c>
      <c r="AY28" s="17"/>
      <c r="AZ28" s="16">
        <v>986288.064</v>
      </c>
      <c r="BA28" s="16"/>
      <c r="BB28" s="59">
        <f>SUM(BB29:BB33)</f>
        <v>980800.648</v>
      </c>
      <c r="BC28" s="58"/>
      <c r="BD28" s="59">
        <f>SUM(BD29:BD33)</f>
        <v>928716.203</v>
      </c>
      <c r="BE28" s="17"/>
      <c r="BF28" s="59">
        <f>SUM(BF29:BF33)</f>
        <v>964930.316</v>
      </c>
      <c r="BG28" s="57"/>
      <c r="BH28" s="16">
        <f>SUM(BH29:BH33)</f>
        <v>983021.265</v>
      </c>
      <c r="BI28" s="16"/>
      <c r="BJ28" s="21">
        <f>SUM(BJ29:BJ33)</f>
        <v>1237500</v>
      </c>
      <c r="BK28" s="16"/>
      <c r="BL28" s="16">
        <f>SUM(BL29:BL33)</f>
        <v>994069</v>
      </c>
      <c r="BM28" s="16"/>
      <c r="BN28" s="16">
        <f>SUM(BN29:BN33)</f>
        <v>1026569</v>
      </c>
      <c r="BO28" s="16"/>
      <c r="BP28" s="16">
        <f>SUM(BP29:BP33)</f>
        <v>905753.862</v>
      </c>
      <c r="BQ28" s="16"/>
      <c r="BR28" s="16">
        <f>SUM(BR29:BR33)</f>
        <v>904042.124</v>
      </c>
      <c r="BS28" s="16"/>
      <c r="BT28" s="16">
        <f>SUM(BT29:BT33)</f>
        <v>856909.791</v>
      </c>
      <c r="BU28" s="16"/>
    </row>
    <row r="29" spans="4:73" ht="12.75">
      <c r="D29" s="18" t="s">
        <v>65</v>
      </c>
      <c r="E29" s="13"/>
      <c r="F29" s="16">
        <v>824549</v>
      </c>
      <c r="G29" s="16"/>
      <c r="H29" s="16">
        <f>824549-100000</f>
        <v>724549</v>
      </c>
      <c r="I29" s="17" t="s">
        <v>158</v>
      </c>
      <c r="J29" s="16">
        <f>F29+H29</f>
        <v>1549098</v>
      </c>
      <c r="K29" s="16"/>
      <c r="L29" s="16">
        <f>724549+100000</f>
        <v>824549</v>
      </c>
      <c r="M29" s="17" t="s">
        <v>158</v>
      </c>
      <c r="N29" s="16">
        <v>635976</v>
      </c>
      <c r="O29" s="16"/>
      <c r="P29" s="16">
        <v>750000</v>
      </c>
      <c r="Q29" s="16"/>
      <c r="R29" s="16">
        <v>718050</v>
      </c>
      <c r="S29" s="16"/>
      <c r="T29" s="16">
        <v>709433</v>
      </c>
      <c r="U29" s="16"/>
      <c r="V29" s="16">
        <v>699777</v>
      </c>
      <c r="W29" s="16"/>
      <c r="X29" s="16">
        <v>1182880</v>
      </c>
      <c r="Y29" s="17" t="s">
        <v>158</v>
      </c>
      <c r="Z29" s="16">
        <v>661712</v>
      </c>
      <c r="AA29" s="17" t="s">
        <v>158</v>
      </c>
      <c r="AB29" s="16">
        <v>858374</v>
      </c>
      <c r="AC29" s="17" t="s">
        <v>160</v>
      </c>
      <c r="AD29" s="16">
        <v>888282</v>
      </c>
      <c r="AE29" s="17" t="s">
        <v>159</v>
      </c>
      <c r="AF29" s="16">
        <v>184788</v>
      </c>
      <c r="AG29" s="17" t="s">
        <v>158</v>
      </c>
      <c r="AH29" s="16">
        <v>625000</v>
      </c>
      <c r="AI29" s="16"/>
      <c r="AJ29" s="16">
        <v>871000</v>
      </c>
      <c r="AK29" s="16"/>
      <c r="AL29" s="16">
        <v>871000</v>
      </c>
      <c r="AM29" s="16"/>
      <c r="AN29" s="16">
        <v>871000</v>
      </c>
      <c r="AO29" s="16"/>
      <c r="AP29" s="21" t="s">
        <v>63</v>
      </c>
      <c r="AQ29" s="16"/>
      <c r="AR29" s="21" t="s">
        <v>63</v>
      </c>
      <c r="AS29" s="16"/>
      <c r="AT29" s="21" t="s">
        <v>63</v>
      </c>
      <c r="AU29" s="17"/>
      <c r="AV29" s="21" t="s">
        <v>63</v>
      </c>
      <c r="AW29" s="17"/>
      <c r="AX29" s="21" t="s">
        <v>63</v>
      </c>
      <c r="AY29" s="17"/>
      <c r="AZ29" s="16"/>
      <c r="BA29" s="16"/>
      <c r="BB29" s="57" t="s">
        <v>63</v>
      </c>
      <c r="BC29" s="58"/>
      <c r="BD29" s="57" t="s">
        <v>63</v>
      </c>
      <c r="BE29" s="17"/>
      <c r="BF29" s="57" t="s">
        <v>63</v>
      </c>
      <c r="BG29" s="57"/>
      <c r="BH29" s="21" t="s">
        <v>63</v>
      </c>
      <c r="BI29" s="21"/>
      <c r="BJ29" s="21" t="s">
        <v>63</v>
      </c>
      <c r="BK29" s="21"/>
      <c r="BL29" s="21" t="s">
        <v>63</v>
      </c>
      <c r="BM29" s="21"/>
      <c r="BN29" s="21" t="s">
        <v>63</v>
      </c>
      <c r="BO29" s="21"/>
      <c r="BP29" s="21" t="s">
        <v>63</v>
      </c>
      <c r="BQ29" s="21"/>
      <c r="BR29" s="21" t="s">
        <v>63</v>
      </c>
      <c r="BS29" s="21"/>
      <c r="BT29" s="21" t="s">
        <v>63</v>
      </c>
      <c r="BU29" s="21"/>
    </row>
    <row r="30" spans="4:73" ht="12.75">
      <c r="D30" s="18" t="s">
        <v>66</v>
      </c>
      <c r="E30" s="13"/>
      <c r="F30" s="21" t="s">
        <v>63</v>
      </c>
      <c r="G30" s="16"/>
      <c r="H30" s="21" t="s">
        <v>63</v>
      </c>
      <c r="I30" s="16"/>
      <c r="J30" s="21" t="s">
        <v>63</v>
      </c>
      <c r="K30" s="16"/>
      <c r="L30" s="21" t="s">
        <v>63</v>
      </c>
      <c r="M30" s="16"/>
      <c r="N30" s="21" t="s">
        <v>63</v>
      </c>
      <c r="O30" s="16"/>
      <c r="P30" s="21" t="s">
        <v>63</v>
      </c>
      <c r="Q30" s="16"/>
      <c r="R30" s="21" t="s">
        <v>63</v>
      </c>
      <c r="S30" s="16"/>
      <c r="T30" s="21" t="s">
        <v>63</v>
      </c>
      <c r="U30" s="16"/>
      <c r="V30" s="21" t="s">
        <v>63</v>
      </c>
      <c r="W30" s="16"/>
      <c r="X30" s="21" t="s">
        <v>63</v>
      </c>
      <c r="Y30" s="16"/>
      <c r="Z30" s="21" t="s">
        <v>63</v>
      </c>
      <c r="AA30" s="16"/>
      <c r="AB30" s="16">
        <v>676682</v>
      </c>
      <c r="AC30" s="17" t="s">
        <v>158</v>
      </c>
      <c r="AD30" s="16">
        <v>608682</v>
      </c>
      <c r="AE30" s="17" t="s">
        <v>160</v>
      </c>
      <c r="AF30" s="16">
        <v>126672</v>
      </c>
      <c r="AG30" s="16"/>
      <c r="AH30" s="16">
        <v>126672</v>
      </c>
      <c r="AI30" s="16"/>
      <c r="AJ30" s="16">
        <v>126672</v>
      </c>
      <c r="AK30" s="16"/>
      <c r="AL30" s="16">
        <v>129965</v>
      </c>
      <c r="AM30" s="16"/>
      <c r="AN30" s="16">
        <v>129965</v>
      </c>
      <c r="AO30" s="16"/>
      <c r="AP30" s="21" t="s">
        <v>63</v>
      </c>
      <c r="AQ30" s="16"/>
      <c r="AR30" s="21" t="s">
        <v>63</v>
      </c>
      <c r="AS30" s="16"/>
      <c r="AT30" s="21" t="s">
        <v>63</v>
      </c>
      <c r="AU30" s="17"/>
      <c r="AV30" s="21" t="s">
        <v>63</v>
      </c>
      <c r="AW30" s="17"/>
      <c r="AX30" s="21" t="s">
        <v>63</v>
      </c>
      <c r="AY30" s="17"/>
      <c r="AZ30" s="16"/>
      <c r="BA30" s="16"/>
      <c r="BB30" s="57" t="s">
        <v>63</v>
      </c>
      <c r="BC30" s="58"/>
      <c r="BD30" s="57" t="s">
        <v>63</v>
      </c>
      <c r="BE30" s="17"/>
      <c r="BF30" s="57" t="s">
        <v>63</v>
      </c>
      <c r="BG30" s="57"/>
      <c r="BH30" s="21" t="s">
        <v>63</v>
      </c>
      <c r="BI30" s="21"/>
      <c r="BJ30" s="21" t="s">
        <v>63</v>
      </c>
      <c r="BK30" s="21"/>
      <c r="BL30" s="21" t="s">
        <v>63</v>
      </c>
      <c r="BM30" s="21"/>
      <c r="BN30" s="21" t="s">
        <v>63</v>
      </c>
      <c r="BO30" s="21"/>
      <c r="BP30" s="21" t="s">
        <v>63</v>
      </c>
      <c r="BQ30" s="21"/>
      <c r="BR30" s="21" t="s">
        <v>63</v>
      </c>
      <c r="BS30" s="21"/>
      <c r="BT30" s="21" t="s">
        <v>63</v>
      </c>
      <c r="BU30" s="21"/>
    </row>
    <row r="31" spans="4:73" ht="12.75">
      <c r="D31" s="18" t="s">
        <v>67</v>
      </c>
      <c r="E31" s="13"/>
      <c r="F31" s="21" t="s">
        <v>63</v>
      </c>
      <c r="G31" s="16"/>
      <c r="H31" s="21" t="s">
        <v>63</v>
      </c>
      <c r="I31" s="16"/>
      <c r="J31" s="21" t="s">
        <v>63</v>
      </c>
      <c r="K31" s="16"/>
      <c r="L31" s="21" t="s">
        <v>63</v>
      </c>
      <c r="M31" s="16"/>
      <c r="N31" s="21" t="s">
        <v>63</v>
      </c>
      <c r="O31" s="16"/>
      <c r="P31" s="21" t="s">
        <v>63</v>
      </c>
      <c r="Q31" s="16"/>
      <c r="R31" s="21" t="s">
        <v>63</v>
      </c>
      <c r="S31" s="16"/>
      <c r="T31" s="21" t="s">
        <v>63</v>
      </c>
      <c r="U31" s="16"/>
      <c r="V31" s="21" t="s">
        <v>63</v>
      </c>
      <c r="W31" s="16"/>
      <c r="X31" s="21" t="s">
        <v>63</v>
      </c>
      <c r="Y31" s="16"/>
      <c r="Z31" s="21" t="s">
        <v>63</v>
      </c>
      <c r="AA31" s="16"/>
      <c r="AB31" s="21" t="s">
        <v>63</v>
      </c>
      <c r="AC31" s="17"/>
      <c r="AD31" s="21" t="s">
        <v>63</v>
      </c>
      <c r="AE31" s="16"/>
      <c r="AF31" s="21" t="s">
        <v>63</v>
      </c>
      <c r="AG31" s="16"/>
      <c r="AH31" s="21" t="s">
        <v>63</v>
      </c>
      <c r="AI31" s="16"/>
      <c r="AJ31" s="19" t="s">
        <v>63</v>
      </c>
      <c r="AK31" s="16"/>
      <c r="AL31" s="19" t="s">
        <v>63</v>
      </c>
      <c r="AM31" s="16"/>
      <c r="AN31" s="19" t="s">
        <v>63</v>
      </c>
      <c r="AO31" s="16"/>
      <c r="AP31" s="19">
        <v>1000965</v>
      </c>
      <c r="AQ31" s="16"/>
      <c r="AR31" s="19">
        <v>1127965</v>
      </c>
      <c r="AS31" s="16" t="s">
        <v>159</v>
      </c>
      <c r="AT31" s="19">
        <f>1127965000/1000</f>
        <v>1127965</v>
      </c>
      <c r="AU31" s="16"/>
      <c r="AV31" s="19">
        <f>994458727/1000</f>
        <v>994458.727</v>
      </c>
      <c r="AW31" s="17"/>
      <c r="AX31" s="19">
        <f>995059306/1000</f>
        <v>995059.306</v>
      </c>
      <c r="AY31" s="17"/>
      <c r="AZ31" s="19"/>
      <c r="BA31" s="16"/>
      <c r="BB31" s="60">
        <f>(986288064-5487416)/1000</f>
        <v>980800.648</v>
      </c>
      <c r="BC31" s="58" t="s">
        <v>160</v>
      </c>
      <c r="BD31" s="60">
        <f>928716203/1000</f>
        <v>928716.203</v>
      </c>
      <c r="BE31" s="58" t="s">
        <v>160</v>
      </c>
      <c r="BF31" s="57">
        <f>915430316/1000</f>
        <v>915430.316</v>
      </c>
      <c r="BG31" s="58" t="s">
        <v>160</v>
      </c>
      <c r="BH31" s="21">
        <f>924069465/1000</f>
        <v>924069.465</v>
      </c>
      <c r="BI31" s="17"/>
      <c r="BJ31" s="21">
        <f>1188000000/1000</f>
        <v>1188000</v>
      </c>
      <c r="BK31" s="17"/>
      <c r="BL31" s="21">
        <f>924069000/1000</f>
        <v>924069</v>
      </c>
      <c r="BM31" s="17"/>
      <c r="BN31" s="21">
        <f>924069000/1000</f>
        <v>924069</v>
      </c>
      <c r="BO31" s="17"/>
      <c r="BP31" s="21">
        <f>825913862/1000</f>
        <v>825913.862</v>
      </c>
      <c r="BQ31" s="17"/>
      <c r="BR31" s="21">
        <f>824353022/1000</f>
        <v>824353.022</v>
      </c>
      <c r="BS31" s="17"/>
      <c r="BT31" s="21">
        <f>781375289/1000</f>
        <v>781375.289</v>
      </c>
      <c r="BU31" s="17"/>
    </row>
    <row r="32" spans="4:73" ht="12.75">
      <c r="D32" s="18" t="s">
        <v>181</v>
      </c>
      <c r="E32" s="13"/>
      <c r="F32" s="57" t="s">
        <v>63</v>
      </c>
      <c r="G32" s="16"/>
      <c r="H32" s="57" t="s">
        <v>63</v>
      </c>
      <c r="I32" s="16"/>
      <c r="J32" s="57" t="s">
        <v>63</v>
      </c>
      <c r="K32" s="16"/>
      <c r="L32" s="57" t="s">
        <v>63</v>
      </c>
      <c r="M32" s="16"/>
      <c r="N32" s="57" t="s">
        <v>63</v>
      </c>
      <c r="O32" s="16"/>
      <c r="P32" s="57" t="s">
        <v>63</v>
      </c>
      <c r="Q32" s="16"/>
      <c r="R32" s="57" t="s">
        <v>63</v>
      </c>
      <c r="S32" s="16"/>
      <c r="T32" s="57" t="s">
        <v>63</v>
      </c>
      <c r="U32" s="16"/>
      <c r="V32" s="57" t="s">
        <v>63</v>
      </c>
      <c r="W32" s="16"/>
      <c r="X32" s="57" t="s">
        <v>63</v>
      </c>
      <c r="Y32" s="16"/>
      <c r="Z32" s="57" t="s">
        <v>63</v>
      </c>
      <c r="AA32" s="16"/>
      <c r="AB32" s="57" t="s">
        <v>63</v>
      </c>
      <c r="AC32" s="17"/>
      <c r="AD32" s="57" t="s">
        <v>63</v>
      </c>
      <c r="AE32" s="16"/>
      <c r="AF32" s="57" t="s">
        <v>63</v>
      </c>
      <c r="AG32" s="16"/>
      <c r="AH32" s="57" t="s">
        <v>63</v>
      </c>
      <c r="AI32" s="16"/>
      <c r="AJ32" s="57" t="s">
        <v>63</v>
      </c>
      <c r="AK32" s="16"/>
      <c r="AL32" s="57" t="s">
        <v>63</v>
      </c>
      <c r="AM32" s="16"/>
      <c r="AN32" s="57" t="s">
        <v>63</v>
      </c>
      <c r="AO32" s="16"/>
      <c r="AP32" s="57" t="s">
        <v>63</v>
      </c>
      <c r="AQ32" s="16"/>
      <c r="AR32" s="57" t="s">
        <v>63</v>
      </c>
      <c r="AS32" s="16"/>
      <c r="AT32" s="57" t="s">
        <v>63</v>
      </c>
      <c r="AU32" s="16"/>
      <c r="AV32" s="57" t="s">
        <v>63</v>
      </c>
      <c r="AW32" s="17"/>
      <c r="AX32" s="57" t="s">
        <v>63</v>
      </c>
      <c r="AY32" s="17"/>
      <c r="AZ32" s="19"/>
      <c r="BA32" s="16"/>
      <c r="BB32" s="57" t="s">
        <v>63</v>
      </c>
      <c r="BC32" s="58"/>
      <c r="BD32" s="57" t="s">
        <v>63</v>
      </c>
      <c r="BE32" s="17"/>
      <c r="BF32" s="57">
        <v>49500</v>
      </c>
      <c r="BG32" s="57"/>
      <c r="BH32" s="21">
        <f>58951800/1000</f>
        <v>58951.8</v>
      </c>
      <c r="BI32" s="21"/>
      <c r="BJ32" s="21">
        <f>49500000/1000</f>
        <v>49500</v>
      </c>
      <c r="BK32" s="21"/>
      <c r="BL32" s="21">
        <f>70000000/1000</f>
        <v>70000</v>
      </c>
      <c r="BM32" s="21"/>
      <c r="BN32" s="21">
        <f>102500000/1000</f>
        <v>102500</v>
      </c>
      <c r="BO32" s="21"/>
      <c r="BP32" s="21">
        <f>79840000/1000</f>
        <v>79840</v>
      </c>
      <c r="BQ32" s="21"/>
      <c r="BR32" s="21">
        <f>79689102/1000</f>
        <v>79689.102</v>
      </c>
      <c r="BS32" s="21"/>
      <c r="BT32" s="21">
        <f>75534502/1000</f>
        <v>75534.502</v>
      </c>
      <c r="BU32" s="21"/>
    </row>
    <row r="33" spans="4:73" ht="12.75">
      <c r="D33" s="18" t="s">
        <v>68</v>
      </c>
      <c r="E33" s="13"/>
      <c r="F33" s="21" t="s">
        <v>63</v>
      </c>
      <c r="G33" s="16"/>
      <c r="H33" s="21" t="s">
        <v>63</v>
      </c>
      <c r="I33" s="16"/>
      <c r="J33" s="21" t="s">
        <v>63</v>
      </c>
      <c r="K33" s="16"/>
      <c r="L33" s="21" t="s">
        <v>63</v>
      </c>
      <c r="M33" s="16"/>
      <c r="N33" s="21" t="s">
        <v>63</v>
      </c>
      <c r="O33" s="16"/>
      <c r="P33" s="21" t="s">
        <v>63</v>
      </c>
      <c r="Q33" s="16"/>
      <c r="R33" s="21" t="s">
        <v>63</v>
      </c>
      <c r="S33" s="16"/>
      <c r="T33" s="21" t="s">
        <v>63</v>
      </c>
      <c r="U33" s="16"/>
      <c r="V33" s="21" t="s">
        <v>63</v>
      </c>
      <c r="W33" s="16"/>
      <c r="X33" s="21" t="s">
        <v>63</v>
      </c>
      <c r="Y33" s="16"/>
      <c r="Z33" s="21" t="s">
        <v>63</v>
      </c>
      <c r="AA33" s="16"/>
      <c r="AB33" s="21" t="s">
        <v>63</v>
      </c>
      <c r="AC33" s="17"/>
      <c r="AD33" s="21" t="s">
        <v>63</v>
      </c>
      <c r="AE33" s="16"/>
      <c r="AF33" s="21" t="s">
        <v>63</v>
      </c>
      <c r="AG33" s="16"/>
      <c r="AH33" s="21" t="s">
        <v>63</v>
      </c>
      <c r="AI33" s="16"/>
      <c r="AJ33" s="16">
        <f>SUM(AJ34:AJ38)</f>
        <v>0</v>
      </c>
      <c r="AK33" s="16"/>
      <c r="AL33" s="16">
        <f>SUM(AL34:AL38)</f>
        <v>0</v>
      </c>
      <c r="AM33" s="17" t="s">
        <v>159</v>
      </c>
      <c r="AN33" s="16">
        <f>SUM(AN34:AN38)</f>
        <v>250000</v>
      </c>
      <c r="AO33" s="17" t="s">
        <v>160</v>
      </c>
      <c r="AP33" s="16">
        <f>SUM(AP34:AP38)</f>
        <v>250000</v>
      </c>
      <c r="AQ33" s="17"/>
      <c r="AR33" s="16">
        <f>SUM(AR34:AR38)</f>
        <v>250000</v>
      </c>
      <c r="AS33" s="17" t="s">
        <v>159</v>
      </c>
      <c r="AT33" s="16">
        <f>SUM(AT34:AT38)</f>
        <v>225100</v>
      </c>
      <c r="AU33" s="17"/>
      <c r="AV33" s="16">
        <f>SUM(AV34:AV38)</f>
        <v>44210.75</v>
      </c>
      <c r="AW33" s="17"/>
      <c r="AX33" s="21" t="s">
        <v>63</v>
      </c>
      <c r="AY33" s="17"/>
      <c r="AZ33" s="16"/>
      <c r="BA33" s="16"/>
      <c r="BB33" s="57" t="s">
        <v>63</v>
      </c>
      <c r="BC33" s="58"/>
      <c r="BD33" s="57" t="s">
        <v>63</v>
      </c>
      <c r="BE33" s="17"/>
      <c r="BF33" s="57" t="s">
        <v>63</v>
      </c>
      <c r="BG33" s="57"/>
      <c r="BH33" s="21" t="s">
        <v>63</v>
      </c>
      <c r="BI33" s="21"/>
      <c r="BJ33" s="21" t="s">
        <v>63</v>
      </c>
      <c r="BK33" s="21"/>
      <c r="BL33" s="21" t="s">
        <v>63</v>
      </c>
      <c r="BM33" s="21"/>
      <c r="BN33" s="21" t="s">
        <v>63</v>
      </c>
      <c r="BO33" s="21"/>
      <c r="BP33" s="21" t="s">
        <v>63</v>
      </c>
      <c r="BQ33" s="21"/>
      <c r="BR33" s="21" t="s">
        <v>63</v>
      </c>
      <c r="BS33" s="21"/>
      <c r="BT33" s="21" t="s">
        <v>63</v>
      </c>
      <c r="BU33" s="21"/>
    </row>
    <row r="34" spans="5:73" ht="12" customHeight="1">
      <c r="E34" s="18" t="s">
        <v>69</v>
      </c>
      <c r="F34" s="21" t="s">
        <v>63</v>
      </c>
      <c r="G34" s="16"/>
      <c r="H34" s="21" t="s">
        <v>63</v>
      </c>
      <c r="I34" s="16"/>
      <c r="J34" s="21" t="s">
        <v>63</v>
      </c>
      <c r="K34" s="16"/>
      <c r="L34" s="21" t="s">
        <v>63</v>
      </c>
      <c r="M34" s="16"/>
      <c r="N34" s="21" t="s">
        <v>63</v>
      </c>
      <c r="O34" s="16"/>
      <c r="P34" s="21" t="s">
        <v>63</v>
      </c>
      <c r="Q34" s="16"/>
      <c r="R34" s="21" t="s">
        <v>63</v>
      </c>
      <c r="S34" s="16"/>
      <c r="T34" s="21" t="s">
        <v>63</v>
      </c>
      <c r="U34" s="16"/>
      <c r="V34" s="21" t="s">
        <v>63</v>
      </c>
      <c r="W34" s="16"/>
      <c r="X34" s="21" t="s">
        <v>63</v>
      </c>
      <c r="Y34" s="16"/>
      <c r="Z34" s="21" t="s">
        <v>63</v>
      </c>
      <c r="AA34" s="16"/>
      <c r="AB34" s="21" t="s">
        <v>63</v>
      </c>
      <c r="AC34" s="17"/>
      <c r="AD34" s="21" t="s">
        <v>63</v>
      </c>
      <c r="AE34" s="16"/>
      <c r="AF34" s="21" t="s">
        <v>63</v>
      </c>
      <c r="AG34" s="16"/>
      <c r="AH34" s="21" t="s">
        <v>63</v>
      </c>
      <c r="AI34" s="16"/>
      <c r="AJ34" s="19" t="s">
        <v>63</v>
      </c>
      <c r="AK34" s="16"/>
      <c r="AL34" s="19" t="s">
        <v>63</v>
      </c>
      <c r="AM34" s="16"/>
      <c r="AN34" s="19">
        <v>240000</v>
      </c>
      <c r="AO34" s="16"/>
      <c r="AP34" s="19">
        <v>213450</v>
      </c>
      <c r="AQ34" s="16"/>
      <c r="AR34" s="19">
        <v>220000</v>
      </c>
      <c r="AS34" s="16"/>
      <c r="AT34" s="19">
        <f>216096000/1000</f>
        <v>216096</v>
      </c>
      <c r="AU34" s="16"/>
      <c r="AV34" s="19">
        <f>44210750/1000</f>
        <v>44210.75</v>
      </c>
      <c r="AW34" s="17"/>
      <c r="AX34" s="21" t="s">
        <v>63</v>
      </c>
      <c r="AY34" s="17"/>
      <c r="AZ34" s="16"/>
      <c r="BA34" s="16"/>
      <c r="BB34" s="57" t="s">
        <v>63</v>
      </c>
      <c r="BC34" s="58"/>
      <c r="BD34" s="57" t="s">
        <v>63</v>
      </c>
      <c r="BE34" s="17"/>
      <c r="BF34" s="57" t="s">
        <v>63</v>
      </c>
      <c r="BG34" s="57"/>
      <c r="BH34" s="21" t="s">
        <v>63</v>
      </c>
      <c r="BI34" s="21"/>
      <c r="BJ34" s="21" t="s">
        <v>63</v>
      </c>
      <c r="BK34" s="21"/>
      <c r="BL34" s="21" t="s">
        <v>63</v>
      </c>
      <c r="BM34" s="21"/>
      <c r="BN34" s="21" t="s">
        <v>63</v>
      </c>
      <c r="BO34" s="21"/>
      <c r="BP34" s="21" t="s">
        <v>63</v>
      </c>
      <c r="BQ34" s="21"/>
      <c r="BR34" s="21" t="s">
        <v>63</v>
      </c>
      <c r="BS34" s="21"/>
      <c r="BT34" s="21" t="s">
        <v>63</v>
      </c>
      <c r="BU34" s="21"/>
    </row>
    <row r="35" spans="5:73" ht="12" customHeight="1">
      <c r="E35" s="18" t="s">
        <v>70</v>
      </c>
      <c r="F35" s="21" t="s">
        <v>63</v>
      </c>
      <c r="G35" s="16"/>
      <c r="H35" s="21" t="s">
        <v>63</v>
      </c>
      <c r="I35" s="16"/>
      <c r="J35" s="21" t="s">
        <v>63</v>
      </c>
      <c r="K35" s="16"/>
      <c r="L35" s="21" t="s">
        <v>63</v>
      </c>
      <c r="M35" s="16"/>
      <c r="N35" s="21" t="s">
        <v>63</v>
      </c>
      <c r="O35" s="16"/>
      <c r="P35" s="21" t="s">
        <v>63</v>
      </c>
      <c r="Q35" s="16"/>
      <c r="R35" s="21" t="s">
        <v>63</v>
      </c>
      <c r="S35" s="16"/>
      <c r="T35" s="21" t="s">
        <v>63</v>
      </c>
      <c r="U35" s="16"/>
      <c r="V35" s="21" t="s">
        <v>63</v>
      </c>
      <c r="W35" s="16"/>
      <c r="X35" s="21" t="s">
        <v>63</v>
      </c>
      <c r="Y35" s="16"/>
      <c r="Z35" s="21" t="s">
        <v>63</v>
      </c>
      <c r="AA35" s="16"/>
      <c r="AB35" s="21" t="s">
        <v>63</v>
      </c>
      <c r="AC35" s="17"/>
      <c r="AD35" s="21" t="s">
        <v>63</v>
      </c>
      <c r="AE35" s="16"/>
      <c r="AF35" s="21" t="s">
        <v>63</v>
      </c>
      <c r="AG35" s="16"/>
      <c r="AH35" s="21" t="s">
        <v>63</v>
      </c>
      <c r="AI35" s="16"/>
      <c r="AJ35" s="19" t="s">
        <v>63</v>
      </c>
      <c r="AK35" s="16"/>
      <c r="AL35" s="19" t="s">
        <v>63</v>
      </c>
      <c r="AM35" s="16"/>
      <c r="AN35" s="19">
        <v>10000</v>
      </c>
      <c r="AO35" s="16"/>
      <c r="AP35" s="19">
        <v>10000</v>
      </c>
      <c r="AQ35" s="16"/>
      <c r="AR35" s="19">
        <v>10000</v>
      </c>
      <c r="AS35" s="16"/>
      <c r="AT35" s="19">
        <f>9004000/1000</f>
        <v>9004</v>
      </c>
      <c r="AU35" s="16"/>
      <c r="AV35" s="19">
        <v>0</v>
      </c>
      <c r="AW35" s="17"/>
      <c r="AX35" s="21" t="s">
        <v>63</v>
      </c>
      <c r="AY35" s="17"/>
      <c r="AZ35" s="16"/>
      <c r="BA35" s="16"/>
      <c r="BB35" s="57" t="s">
        <v>63</v>
      </c>
      <c r="BC35" s="58"/>
      <c r="BD35" s="57" t="s">
        <v>63</v>
      </c>
      <c r="BE35" s="17"/>
      <c r="BF35" s="57" t="s">
        <v>63</v>
      </c>
      <c r="BG35" s="57"/>
      <c r="BH35" s="21" t="s">
        <v>63</v>
      </c>
      <c r="BI35" s="21"/>
      <c r="BJ35" s="21" t="s">
        <v>63</v>
      </c>
      <c r="BK35" s="21"/>
      <c r="BL35" s="21" t="s">
        <v>63</v>
      </c>
      <c r="BM35" s="21"/>
      <c r="BN35" s="21" t="s">
        <v>63</v>
      </c>
      <c r="BO35" s="21"/>
      <c r="BP35" s="21" t="s">
        <v>63</v>
      </c>
      <c r="BQ35" s="21"/>
      <c r="BR35" s="21" t="s">
        <v>63</v>
      </c>
      <c r="BS35" s="21"/>
      <c r="BT35" s="21" t="s">
        <v>63</v>
      </c>
      <c r="BU35" s="21"/>
    </row>
    <row r="36" spans="5:73" ht="12" customHeight="1">
      <c r="E36" s="18" t="s">
        <v>71</v>
      </c>
      <c r="F36" s="21" t="s">
        <v>63</v>
      </c>
      <c r="G36" s="16"/>
      <c r="H36" s="21" t="s">
        <v>63</v>
      </c>
      <c r="I36" s="16"/>
      <c r="J36" s="21" t="s">
        <v>63</v>
      </c>
      <c r="K36" s="16"/>
      <c r="L36" s="21" t="s">
        <v>63</v>
      </c>
      <c r="M36" s="16"/>
      <c r="N36" s="21" t="s">
        <v>63</v>
      </c>
      <c r="O36" s="16"/>
      <c r="P36" s="21" t="s">
        <v>63</v>
      </c>
      <c r="Q36" s="16"/>
      <c r="R36" s="21" t="s">
        <v>63</v>
      </c>
      <c r="S36" s="16"/>
      <c r="T36" s="21" t="s">
        <v>63</v>
      </c>
      <c r="U36" s="16"/>
      <c r="V36" s="21" t="s">
        <v>63</v>
      </c>
      <c r="W36" s="16"/>
      <c r="X36" s="21" t="s">
        <v>63</v>
      </c>
      <c r="Y36" s="16"/>
      <c r="Z36" s="21" t="s">
        <v>63</v>
      </c>
      <c r="AA36" s="16"/>
      <c r="AB36" s="21" t="s">
        <v>63</v>
      </c>
      <c r="AC36" s="17"/>
      <c r="AD36" s="21" t="s">
        <v>63</v>
      </c>
      <c r="AE36" s="16"/>
      <c r="AF36" s="21" t="s">
        <v>63</v>
      </c>
      <c r="AG36" s="16"/>
      <c r="AH36" s="21" t="s">
        <v>63</v>
      </c>
      <c r="AI36" s="16"/>
      <c r="AJ36" s="19" t="s">
        <v>63</v>
      </c>
      <c r="AK36" s="16"/>
      <c r="AL36" s="19" t="s">
        <v>63</v>
      </c>
      <c r="AM36" s="16"/>
      <c r="AN36" s="19" t="s">
        <v>63</v>
      </c>
      <c r="AO36" s="16"/>
      <c r="AP36" s="19">
        <v>20000</v>
      </c>
      <c r="AQ36" s="16"/>
      <c r="AR36" s="19">
        <v>20000</v>
      </c>
      <c r="AS36" s="16"/>
      <c r="AT36" s="19">
        <v>0</v>
      </c>
      <c r="AU36" s="16"/>
      <c r="AV36" s="19">
        <v>0</v>
      </c>
      <c r="AW36" s="17"/>
      <c r="AX36" s="21" t="s">
        <v>63</v>
      </c>
      <c r="AY36" s="17"/>
      <c r="AZ36" s="16"/>
      <c r="BA36" s="16"/>
      <c r="BB36" s="21" t="s">
        <v>63</v>
      </c>
      <c r="BC36" s="17"/>
      <c r="BD36" s="21" t="s">
        <v>63</v>
      </c>
      <c r="BE36" s="17"/>
      <c r="BF36" s="21" t="s">
        <v>63</v>
      </c>
      <c r="BG36" s="57"/>
      <c r="BH36" s="21" t="s">
        <v>63</v>
      </c>
      <c r="BI36" s="21"/>
      <c r="BJ36" s="21" t="s">
        <v>63</v>
      </c>
      <c r="BK36" s="21"/>
      <c r="BL36" s="21" t="s">
        <v>63</v>
      </c>
      <c r="BM36" s="21"/>
      <c r="BN36" s="21" t="s">
        <v>63</v>
      </c>
      <c r="BO36" s="21"/>
      <c r="BP36" s="21" t="s">
        <v>63</v>
      </c>
      <c r="BQ36" s="21"/>
      <c r="BR36" s="21" t="s">
        <v>63</v>
      </c>
      <c r="BS36" s="21"/>
      <c r="BT36" s="21" t="s">
        <v>63</v>
      </c>
      <c r="BU36" s="21"/>
    </row>
    <row r="37" spans="5:73" ht="12" customHeight="1">
      <c r="E37" s="18" t="s">
        <v>72</v>
      </c>
      <c r="F37" s="21" t="s">
        <v>63</v>
      </c>
      <c r="G37" s="16"/>
      <c r="H37" s="21" t="s">
        <v>63</v>
      </c>
      <c r="I37" s="16"/>
      <c r="J37" s="21" t="s">
        <v>63</v>
      </c>
      <c r="K37" s="16"/>
      <c r="L37" s="21" t="s">
        <v>63</v>
      </c>
      <c r="M37" s="16"/>
      <c r="N37" s="21" t="s">
        <v>63</v>
      </c>
      <c r="O37" s="16"/>
      <c r="P37" s="21" t="s">
        <v>63</v>
      </c>
      <c r="Q37" s="16"/>
      <c r="R37" s="21" t="s">
        <v>63</v>
      </c>
      <c r="S37" s="16"/>
      <c r="T37" s="21" t="s">
        <v>63</v>
      </c>
      <c r="U37" s="16"/>
      <c r="V37" s="21" t="s">
        <v>63</v>
      </c>
      <c r="W37" s="16"/>
      <c r="X37" s="21" t="s">
        <v>63</v>
      </c>
      <c r="Y37" s="16"/>
      <c r="Z37" s="21" t="s">
        <v>63</v>
      </c>
      <c r="AA37" s="16"/>
      <c r="AB37" s="21" t="s">
        <v>63</v>
      </c>
      <c r="AC37" s="17"/>
      <c r="AD37" s="21" t="s">
        <v>63</v>
      </c>
      <c r="AE37" s="16"/>
      <c r="AF37" s="21" t="s">
        <v>63</v>
      </c>
      <c r="AG37" s="16"/>
      <c r="AH37" s="21" t="s">
        <v>63</v>
      </c>
      <c r="AI37" s="16"/>
      <c r="AJ37" s="19" t="s">
        <v>63</v>
      </c>
      <c r="AK37" s="16"/>
      <c r="AL37" s="19" t="s">
        <v>63</v>
      </c>
      <c r="AM37" s="16"/>
      <c r="AN37" s="19" t="s">
        <v>63</v>
      </c>
      <c r="AO37" s="16"/>
      <c r="AP37" s="19">
        <v>4800</v>
      </c>
      <c r="AQ37" s="16"/>
      <c r="AR37" s="19">
        <v>0</v>
      </c>
      <c r="AS37" s="16"/>
      <c r="AT37" s="19">
        <v>0</v>
      </c>
      <c r="AU37" s="16"/>
      <c r="AV37" s="19">
        <v>0</v>
      </c>
      <c r="AW37" s="17"/>
      <c r="AX37" s="21" t="s">
        <v>63</v>
      </c>
      <c r="AY37" s="17"/>
      <c r="AZ37" s="16"/>
      <c r="BA37" s="16"/>
      <c r="BB37" s="21" t="s">
        <v>63</v>
      </c>
      <c r="BC37" s="17"/>
      <c r="BD37" s="21" t="s">
        <v>63</v>
      </c>
      <c r="BE37" s="17"/>
      <c r="BF37" s="21" t="s">
        <v>63</v>
      </c>
      <c r="BG37" s="57"/>
      <c r="BH37" s="21" t="s">
        <v>63</v>
      </c>
      <c r="BI37" s="21"/>
      <c r="BJ37" s="21" t="s">
        <v>63</v>
      </c>
      <c r="BK37" s="21"/>
      <c r="BL37" s="21" t="s">
        <v>63</v>
      </c>
      <c r="BM37" s="21"/>
      <c r="BN37" s="21" t="s">
        <v>63</v>
      </c>
      <c r="BO37" s="21"/>
      <c r="BP37" s="21" t="s">
        <v>63</v>
      </c>
      <c r="BQ37" s="21"/>
      <c r="BR37" s="21" t="s">
        <v>63</v>
      </c>
      <c r="BS37" s="21"/>
      <c r="BT37" s="21" t="s">
        <v>63</v>
      </c>
      <c r="BU37" s="21"/>
    </row>
    <row r="38" spans="5:73" ht="12" customHeight="1">
      <c r="E38" s="18" t="s">
        <v>73</v>
      </c>
      <c r="F38" s="21" t="s">
        <v>63</v>
      </c>
      <c r="G38" s="16"/>
      <c r="H38" s="21" t="s">
        <v>63</v>
      </c>
      <c r="I38" s="16"/>
      <c r="J38" s="21" t="s">
        <v>63</v>
      </c>
      <c r="K38" s="16"/>
      <c r="L38" s="21" t="s">
        <v>63</v>
      </c>
      <c r="M38" s="16"/>
      <c r="N38" s="21" t="s">
        <v>63</v>
      </c>
      <c r="O38" s="16"/>
      <c r="P38" s="21" t="s">
        <v>63</v>
      </c>
      <c r="Q38" s="16"/>
      <c r="R38" s="21" t="s">
        <v>63</v>
      </c>
      <c r="S38" s="16"/>
      <c r="T38" s="21" t="s">
        <v>63</v>
      </c>
      <c r="U38" s="16"/>
      <c r="V38" s="21" t="s">
        <v>63</v>
      </c>
      <c r="W38" s="16"/>
      <c r="X38" s="21" t="s">
        <v>63</v>
      </c>
      <c r="Y38" s="16"/>
      <c r="Z38" s="21" t="s">
        <v>63</v>
      </c>
      <c r="AA38" s="16"/>
      <c r="AB38" s="21" t="s">
        <v>63</v>
      </c>
      <c r="AC38" s="17"/>
      <c r="AD38" s="21" t="s">
        <v>63</v>
      </c>
      <c r="AE38" s="16"/>
      <c r="AF38" s="21" t="s">
        <v>63</v>
      </c>
      <c r="AG38" s="16"/>
      <c r="AH38" s="21" t="s">
        <v>63</v>
      </c>
      <c r="AI38" s="16"/>
      <c r="AJ38" s="19" t="s">
        <v>63</v>
      </c>
      <c r="AK38" s="16"/>
      <c r="AL38" s="19" t="s">
        <v>63</v>
      </c>
      <c r="AM38" s="16"/>
      <c r="AN38" s="19" t="s">
        <v>63</v>
      </c>
      <c r="AO38" s="16"/>
      <c r="AP38" s="19">
        <v>1750</v>
      </c>
      <c r="AQ38" s="16"/>
      <c r="AR38" s="19">
        <v>0</v>
      </c>
      <c r="AS38" s="16"/>
      <c r="AT38" s="19">
        <v>0</v>
      </c>
      <c r="AU38" s="16"/>
      <c r="AV38" s="19">
        <v>0</v>
      </c>
      <c r="AW38" s="17"/>
      <c r="AX38" s="21" t="s">
        <v>63</v>
      </c>
      <c r="AY38" s="17"/>
      <c r="AZ38" s="16"/>
      <c r="BA38" s="16"/>
      <c r="BB38" s="21" t="s">
        <v>63</v>
      </c>
      <c r="BC38" s="17"/>
      <c r="BD38" s="21" t="s">
        <v>63</v>
      </c>
      <c r="BE38" s="17"/>
      <c r="BF38" s="21" t="s">
        <v>63</v>
      </c>
      <c r="BG38" s="57"/>
      <c r="BH38" s="21" t="s">
        <v>63</v>
      </c>
      <c r="BI38" s="21"/>
      <c r="BJ38" s="21" t="s">
        <v>63</v>
      </c>
      <c r="BK38" s="21"/>
      <c r="BL38" s="21" t="s">
        <v>63</v>
      </c>
      <c r="BM38" s="21"/>
      <c r="BN38" s="21" t="s">
        <v>63</v>
      </c>
      <c r="BO38" s="21"/>
      <c r="BP38" s="21" t="s">
        <v>63</v>
      </c>
      <c r="BQ38" s="21"/>
      <c r="BR38" s="21" t="s">
        <v>63</v>
      </c>
      <c r="BS38" s="21"/>
      <c r="BT38" s="21" t="s">
        <v>63</v>
      </c>
      <c r="BU38" s="21"/>
    </row>
    <row r="39" spans="3:73" ht="12" customHeight="1">
      <c r="C39" s="11" t="s">
        <v>13</v>
      </c>
      <c r="D39" s="11"/>
      <c r="E39" s="13"/>
      <c r="F39" s="16">
        <f>F40+F41</f>
        <v>414900</v>
      </c>
      <c r="G39" s="16"/>
      <c r="H39" s="16">
        <f>H40+H41</f>
        <v>599200</v>
      </c>
      <c r="I39" s="16"/>
      <c r="J39" s="16">
        <f>J40+J41</f>
        <v>1014100</v>
      </c>
      <c r="K39" s="16"/>
      <c r="L39" s="16">
        <f>L40+L41</f>
        <v>617000</v>
      </c>
      <c r="M39" s="16"/>
      <c r="N39" s="16">
        <f>N40+N41</f>
        <v>612480</v>
      </c>
      <c r="O39" s="16"/>
      <c r="P39" s="16">
        <f>P40+P41</f>
        <v>656350</v>
      </c>
      <c r="Q39" s="16"/>
      <c r="R39" s="16">
        <f>R40+R41</f>
        <v>716135</v>
      </c>
      <c r="S39" s="16"/>
      <c r="T39" s="16">
        <f>T40+T41</f>
        <v>755317</v>
      </c>
      <c r="U39" s="16"/>
      <c r="V39" s="16">
        <f>V40+V41</f>
        <v>789122</v>
      </c>
      <c r="W39" s="16"/>
      <c r="X39" s="16">
        <f>X40+X41</f>
        <v>867486</v>
      </c>
      <c r="Y39" s="16"/>
      <c r="Z39" s="16">
        <f>Z40+Z41</f>
        <v>919533</v>
      </c>
      <c r="AA39" s="16"/>
      <c r="AB39" s="16">
        <f>AB40+AB41</f>
        <v>966075</v>
      </c>
      <c r="AC39" s="16"/>
      <c r="AD39" s="16">
        <f>AD40+AD41</f>
        <v>1040469</v>
      </c>
      <c r="AE39" s="16"/>
      <c r="AF39" s="16">
        <f>AF40+AF41</f>
        <v>1089222</v>
      </c>
      <c r="AG39" s="16"/>
      <c r="AH39" s="16">
        <f>AH40+AH41</f>
        <v>1093942</v>
      </c>
      <c r="AI39" s="16"/>
      <c r="AJ39" s="16">
        <f>AJ40+AJ41</f>
        <v>1153509</v>
      </c>
      <c r="AK39" s="16"/>
      <c r="AL39" s="16">
        <f>AL40+AL41</f>
        <v>1246217</v>
      </c>
      <c r="AM39" s="16"/>
      <c r="AN39" s="16">
        <f>AN40+AN41</f>
        <v>1307947</v>
      </c>
      <c r="AO39" s="16"/>
      <c r="AP39" s="16">
        <f>AP40+AP41</f>
        <v>1357776</v>
      </c>
      <c r="AQ39" s="16"/>
      <c r="AR39" s="16">
        <f>AR40+AR41</f>
        <v>1399148</v>
      </c>
      <c r="AS39" s="16"/>
      <c r="AT39" s="16">
        <f>AT40+AT41</f>
        <v>1454240.5</v>
      </c>
      <c r="AU39" s="16"/>
      <c r="AV39" s="16">
        <f>AV40+AV41</f>
        <v>1509094.0250000001</v>
      </c>
      <c r="AW39" s="17"/>
      <c r="AX39" s="16">
        <f>AX40+AX41</f>
        <v>1535623.338</v>
      </c>
      <c r="AY39" s="17"/>
      <c r="AZ39" s="16">
        <f>AZ40+AZ41</f>
        <v>1551860.854</v>
      </c>
      <c r="BA39" s="16"/>
      <c r="BB39" s="16">
        <f>BB40+BB41</f>
        <v>1544950.854</v>
      </c>
      <c r="BC39" s="17"/>
      <c r="BD39" s="16">
        <f>BD40+BD41</f>
        <v>1573270</v>
      </c>
      <c r="BE39" s="17"/>
      <c r="BF39" s="16">
        <f>BF40+BF41</f>
        <v>1566205.488</v>
      </c>
      <c r="BG39" s="17" t="s">
        <v>161</v>
      </c>
      <c r="BH39" s="16">
        <f>BH40+BH41</f>
        <v>0</v>
      </c>
      <c r="BI39" s="17"/>
      <c r="BJ39" s="21" t="s">
        <v>63</v>
      </c>
      <c r="BK39" s="17"/>
      <c r="BL39" s="16">
        <f>BL40+BL41+BL42</f>
        <v>0</v>
      </c>
      <c r="BM39" s="17"/>
      <c r="BN39" s="21" t="s">
        <v>63</v>
      </c>
      <c r="BO39" s="17" t="s">
        <v>161</v>
      </c>
      <c r="BP39" s="21" t="s">
        <v>63</v>
      </c>
      <c r="BQ39" s="17"/>
      <c r="BR39" s="21" t="s">
        <v>63</v>
      </c>
      <c r="BS39" s="17"/>
      <c r="BT39" s="21" t="s">
        <v>63</v>
      </c>
      <c r="BU39" s="17"/>
    </row>
    <row r="40" spans="4:73" ht="12" customHeight="1">
      <c r="D40" s="18" t="s">
        <v>14</v>
      </c>
      <c r="E40" s="13"/>
      <c r="F40" s="16">
        <v>407643</v>
      </c>
      <c r="G40" s="16"/>
      <c r="H40" s="16">
        <v>579564</v>
      </c>
      <c r="I40" s="16"/>
      <c r="J40" s="16">
        <f>F40+H40</f>
        <v>987207</v>
      </c>
      <c r="K40" s="16"/>
      <c r="L40" s="16">
        <v>599300</v>
      </c>
      <c r="M40" s="16"/>
      <c r="N40" s="16">
        <v>583270</v>
      </c>
      <c r="O40" s="16"/>
      <c r="P40" s="16">
        <v>622550</v>
      </c>
      <c r="Q40" s="16"/>
      <c r="R40" s="16">
        <v>627097</v>
      </c>
      <c r="S40" s="16"/>
      <c r="T40" s="16">
        <v>692168</v>
      </c>
      <c r="U40" s="16"/>
      <c r="V40" s="16">
        <v>739376</v>
      </c>
      <c r="W40" s="16"/>
      <c r="X40" s="16">
        <v>800227</v>
      </c>
      <c r="Y40" s="16"/>
      <c r="Z40" s="16">
        <v>846533</v>
      </c>
      <c r="AA40" s="16"/>
      <c r="AB40" s="16">
        <v>891532</v>
      </c>
      <c r="AC40" s="16"/>
      <c r="AD40" s="16">
        <v>913913</v>
      </c>
      <c r="AE40" s="16"/>
      <c r="AF40" s="16">
        <v>957193</v>
      </c>
      <c r="AG40" s="16"/>
      <c r="AH40" s="16">
        <v>972475</v>
      </c>
      <c r="AI40" s="16"/>
      <c r="AJ40" s="16">
        <v>1064824</v>
      </c>
      <c r="AK40" s="16"/>
      <c r="AL40" s="16">
        <v>1127726</v>
      </c>
      <c r="AM40" s="16"/>
      <c r="AN40" s="16">
        <v>1157375</v>
      </c>
      <c r="AO40" s="16" t="s">
        <v>161</v>
      </c>
      <c r="AP40" s="16">
        <v>1224140</v>
      </c>
      <c r="AQ40" s="16"/>
      <c r="AR40" s="16">
        <v>1278773</v>
      </c>
      <c r="AS40" s="16" t="s">
        <v>160</v>
      </c>
      <c r="AT40" s="16">
        <f>1324515.5</f>
        <v>1324515.5</v>
      </c>
      <c r="AU40" s="16" t="s">
        <v>165</v>
      </c>
      <c r="AV40" s="16">
        <f>1382313.1</f>
        <v>1382313.1</v>
      </c>
      <c r="AW40" s="17" t="s">
        <v>159</v>
      </c>
      <c r="AX40" s="16">
        <f>1411113.612-4728</f>
        <v>1406385.612</v>
      </c>
      <c r="AY40" s="17" t="s">
        <v>166</v>
      </c>
      <c r="AZ40" s="16">
        <v>1435670.422</v>
      </c>
      <c r="BA40" s="16"/>
      <c r="BB40" s="16">
        <f>1429760422/1000</f>
        <v>1429760.422</v>
      </c>
      <c r="BC40" s="17" t="s">
        <v>176</v>
      </c>
      <c r="BD40" s="16">
        <f>1450350000/1000</f>
        <v>1450350</v>
      </c>
      <c r="BE40" s="17" t="s">
        <v>159</v>
      </c>
      <c r="BF40" s="57">
        <f>1460032488/1000</f>
        <v>1460032.488</v>
      </c>
      <c r="BG40" s="17" t="s">
        <v>159</v>
      </c>
      <c r="BH40" s="16">
        <v>0</v>
      </c>
      <c r="BI40" s="17" t="s">
        <v>159</v>
      </c>
      <c r="BJ40" s="21" t="s">
        <v>63</v>
      </c>
      <c r="BK40" s="17"/>
      <c r="BL40" s="16">
        <v>0</v>
      </c>
      <c r="BM40" s="17"/>
      <c r="BN40" s="21" t="s">
        <v>63</v>
      </c>
      <c r="BO40" s="17"/>
      <c r="BP40" s="21" t="s">
        <v>63</v>
      </c>
      <c r="BQ40" s="17"/>
      <c r="BR40" s="21" t="s">
        <v>63</v>
      </c>
      <c r="BS40" s="17"/>
      <c r="BT40" s="21" t="s">
        <v>63</v>
      </c>
      <c r="BU40" s="17"/>
    </row>
    <row r="41" spans="4:73" ht="12" customHeight="1">
      <c r="D41" s="18" t="s">
        <v>74</v>
      </c>
      <c r="E41" s="13"/>
      <c r="F41" s="16">
        <v>7257</v>
      </c>
      <c r="G41" s="16"/>
      <c r="H41" s="16">
        <v>19636</v>
      </c>
      <c r="I41" s="16"/>
      <c r="J41" s="16">
        <f>F41+H41</f>
        <v>26893</v>
      </c>
      <c r="K41" s="16"/>
      <c r="L41" s="16">
        <v>17700</v>
      </c>
      <c r="M41" s="16"/>
      <c r="N41" s="16">
        <v>29210</v>
      </c>
      <c r="O41" s="16"/>
      <c r="P41" s="16">
        <v>33800</v>
      </c>
      <c r="Q41" s="16"/>
      <c r="R41" s="16">
        <v>89038</v>
      </c>
      <c r="S41" s="16"/>
      <c r="T41" s="16">
        <v>63149</v>
      </c>
      <c r="U41" s="16"/>
      <c r="V41" s="16">
        <v>49746</v>
      </c>
      <c r="W41" s="16"/>
      <c r="X41" s="16">
        <v>67259</v>
      </c>
      <c r="Y41" s="16"/>
      <c r="Z41" s="16">
        <v>73000</v>
      </c>
      <c r="AA41" s="16"/>
      <c r="AB41" s="16">
        <v>74543</v>
      </c>
      <c r="AC41" s="16"/>
      <c r="AD41" s="16">
        <v>126556</v>
      </c>
      <c r="AE41" s="16"/>
      <c r="AF41" s="16">
        <v>132029</v>
      </c>
      <c r="AG41" s="16"/>
      <c r="AH41" s="16">
        <v>121467</v>
      </c>
      <c r="AI41" s="16"/>
      <c r="AJ41" s="16">
        <v>88685</v>
      </c>
      <c r="AK41" s="16"/>
      <c r="AL41" s="16">
        <v>118491</v>
      </c>
      <c r="AM41" s="16"/>
      <c r="AN41" s="16">
        <v>150572</v>
      </c>
      <c r="AO41" s="16"/>
      <c r="AP41" s="16">
        <v>133636</v>
      </c>
      <c r="AQ41" s="16"/>
      <c r="AR41" s="16">
        <v>120375</v>
      </c>
      <c r="AS41" s="16"/>
      <c r="AT41" s="16">
        <f>129725</f>
        <v>129725</v>
      </c>
      <c r="AU41" s="16" t="s">
        <v>158</v>
      </c>
      <c r="AV41" s="16">
        <f>126780.925</f>
        <v>126780.925</v>
      </c>
      <c r="AW41" s="17" t="s">
        <v>159</v>
      </c>
      <c r="AX41" s="16">
        <f>130037.726-800</f>
        <v>129237.726</v>
      </c>
      <c r="AY41" s="17" t="s">
        <v>159</v>
      </c>
      <c r="AZ41" s="16">
        <v>116190.432</v>
      </c>
      <c r="BA41" s="16"/>
      <c r="BB41" s="16">
        <f>115190432/1000</f>
        <v>115190.432</v>
      </c>
      <c r="BC41" s="17" t="s">
        <v>159</v>
      </c>
      <c r="BD41" s="16">
        <f>122920000/1000</f>
        <v>122920</v>
      </c>
      <c r="BE41" s="17" t="s">
        <v>182</v>
      </c>
      <c r="BF41" s="57">
        <f>106173000/1000</f>
        <v>106173</v>
      </c>
      <c r="BG41" s="17" t="s">
        <v>159</v>
      </c>
      <c r="BH41" s="16">
        <v>0</v>
      </c>
      <c r="BI41" s="17" t="s">
        <v>159</v>
      </c>
      <c r="BJ41" s="21" t="s">
        <v>63</v>
      </c>
      <c r="BK41" s="17"/>
      <c r="BL41" s="16">
        <v>0</v>
      </c>
      <c r="BM41" s="17"/>
      <c r="BN41" s="21" t="s">
        <v>63</v>
      </c>
      <c r="BO41" s="17"/>
      <c r="BP41" s="21" t="s">
        <v>63</v>
      </c>
      <c r="BQ41" s="17"/>
      <c r="BR41" s="21" t="s">
        <v>63</v>
      </c>
      <c r="BS41" s="17"/>
      <c r="BT41" s="21" t="s">
        <v>63</v>
      </c>
      <c r="BU41" s="17"/>
    </row>
    <row r="42" spans="4:73" ht="12" customHeight="1">
      <c r="D42" s="18" t="s">
        <v>210</v>
      </c>
      <c r="E42" s="13"/>
      <c r="F42" s="16">
        <v>0</v>
      </c>
      <c r="G42" s="16"/>
      <c r="H42" s="16">
        <v>0</v>
      </c>
      <c r="I42" s="16"/>
      <c r="J42" s="16">
        <v>0</v>
      </c>
      <c r="K42" s="16"/>
      <c r="L42" s="16">
        <v>0</v>
      </c>
      <c r="M42" s="16"/>
      <c r="N42" s="16">
        <v>0</v>
      </c>
      <c r="O42" s="16"/>
      <c r="P42" s="16">
        <v>0</v>
      </c>
      <c r="Q42" s="16"/>
      <c r="R42" s="16">
        <v>0</v>
      </c>
      <c r="S42" s="16"/>
      <c r="T42" s="16">
        <v>0</v>
      </c>
      <c r="U42" s="16"/>
      <c r="V42" s="16">
        <v>0</v>
      </c>
      <c r="W42" s="16"/>
      <c r="X42" s="16">
        <v>0</v>
      </c>
      <c r="Y42" s="16"/>
      <c r="Z42" s="16">
        <v>0</v>
      </c>
      <c r="AA42" s="16"/>
      <c r="AB42" s="16">
        <v>0</v>
      </c>
      <c r="AC42" s="16"/>
      <c r="AD42" s="16">
        <v>0</v>
      </c>
      <c r="AE42" s="16"/>
      <c r="AF42" s="16">
        <v>0</v>
      </c>
      <c r="AG42" s="16"/>
      <c r="AH42" s="16">
        <v>0</v>
      </c>
      <c r="AI42" s="16"/>
      <c r="AJ42" s="16">
        <v>0</v>
      </c>
      <c r="AK42" s="16"/>
      <c r="AL42" s="16">
        <v>0</v>
      </c>
      <c r="AM42" s="16"/>
      <c r="AN42" s="16">
        <v>0</v>
      </c>
      <c r="AO42" s="16"/>
      <c r="AP42" s="16">
        <v>0</v>
      </c>
      <c r="AQ42" s="16"/>
      <c r="AR42" s="16">
        <v>0</v>
      </c>
      <c r="AS42" s="16"/>
      <c r="AT42" s="16">
        <v>0</v>
      </c>
      <c r="AU42" s="16"/>
      <c r="AV42" s="16">
        <v>0</v>
      </c>
      <c r="AW42" s="17"/>
      <c r="AX42" s="16">
        <v>0</v>
      </c>
      <c r="AY42" s="17"/>
      <c r="AZ42" s="16"/>
      <c r="BA42" s="16"/>
      <c r="BB42" s="16">
        <v>0</v>
      </c>
      <c r="BC42" s="17"/>
      <c r="BD42" s="16">
        <v>0</v>
      </c>
      <c r="BE42" s="17"/>
      <c r="BF42" s="57">
        <v>0</v>
      </c>
      <c r="BG42" s="17"/>
      <c r="BH42" s="16">
        <v>0</v>
      </c>
      <c r="BI42" s="17"/>
      <c r="BJ42" s="21" t="s">
        <v>63</v>
      </c>
      <c r="BK42" s="17"/>
      <c r="BL42" s="16">
        <v>0</v>
      </c>
      <c r="BM42" s="17"/>
      <c r="BN42" s="21" t="s">
        <v>63</v>
      </c>
      <c r="BO42" s="17"/>
      <c r="BP42" s="21" t="s">
        <v>63</v>
      </c>
      <c r="BQ42" s="17"/>
      <c r="BR42" s="21" t="s">
        <v>63</v>
      </c>
      <c r="BS42" s="17"/>
      <c r="BT42" s="21" t="s">
        <v>63</v>
      </c>
      <c r="BU42" s="17"/>
    </row>
    <row r="43" spans="3:73" ht="12" customHeight="1">
      <c r="C43" s="11" t="s">
        <v>15</v>
      </c>
      <c r="D43" s="13"/>
      <c r="E43" s="13"/>
      <c r="F43" s="16">
        <v>46682</v>
      </c>
      <c r="G43" s="16"/>
      <c r="H43" s="16">
        <v>62243</v>
      </c>
      <c r="I43" s="16"/>
      <c r="J43" s="16">
        <f>F43+H43</f>
        <v>108925</v>
      </c>
      <c r="K43" s="16"/>
      <c r="L43" s="16">
        <v>62243</v>
      </c>
      <c r="M43" s="16"/>
      <c r="N43" s="16">
        <v>59567</v>
      </c>
      <c r="O43" s="16"/>
      <c r="P43" s="16">
        <v>61484</v>
      </c>
      <c r="Q43" s="16"/>
      <c r="R43" s="16">
        <v>59713</v>
      </c>
      <c r="S43" s="16"/>
      <c r="T43" s="16">
        <v>58996</v>
      </c>
      <c r="U43" s="16"/>
      <c r="V43" s="16">
        <v>58193</v>
      </c>
      <c r="W43" s="16"/>
      <c r="X43" s="16">
        <v>59624</v>
      </c>
      <c r="Y43" s="16"/>
      <c r="Z43" s="16">
        <v>63000</v>
      </c>
      <c r="AA43" s="16"/>
      <c r="AB43" s="16">
        <v>61871</v>
      </c>
      <c r="AC43" s="16"/>
      <c r="AD43" s="16">
        <v>64218</v>
      </c>
      <c r="AE43" s="16"/>
      <c r="AF43" s="16">
        <v>59787</v>
      </c>
      <c r="AG43" s="16"/>
      <c r="AH43" s="16">
        <v>52502</v>
      </c>
      <c r="AI43" s="16"/>
      <c r="AJ43" s="16">
        <v>52502</v>
      </c>
      <c r="AK43" s="16"/>
      <c r="AL43" s="16">
        <v>53815</v>
      </c>
      <c r="AM43" s="16"/>
      <c r="AN43" s="16">
        <v>57815</v>
      </c>
      <c r="AO43" s="16" t="s">
        <v>162</v>
      </c>
      <c r="AP43" s="16">
        <v>58436</v>
      </c>
      <c r="AQ43" s="16"/>
      <c r="AR43" s="16">
        <v>55000</v>
      </c>
      <c r="AS43" s="16"/>
      <c r="AT43" s="16">
        <f>57000000/1000</f>
        <v>57000</v>
      </c>
      <c r="AU43" s="16"/>
      <c r="AV43" s="16">
        <f>55636000/1000</f>
        <v>55636</v>
      </c>
      <c r="AW43" s="17"/>
      <c r="AX43" s="16">
        <f>54675500/1000</f>
        <v>54675.5</v>
      </c>
      <c r="AY43" s="17"/>
      <c r="AZ43" s="16">
        <v>54237.6</v>
      </c>
      <c r="BA43" s="16"/>
      <c r="BB43" s="16">
        <f>54237600/1000</f>
        <v>54237.6</v>
      </c>
      <c r="BC43" s="17"/>
      <c r="BD43" s="16">
        <f>53695620/1000</f>
        <v>53695.62</v>
      </c>
      <c r="BE43" s="17"/>
      <c r="BF43" s="57">
        <f>53696000/1000</f>
        <v>53696</v>
      </c>
      <c r="BG43" s="57"/>
      <c r="BH43" s="21">
        <f>52757931/1000</f>
        <v>52757.931</v>
      </c>
      <c r="BI43" s="21"/>
      <c r="BJ43" s="21" t="s">
        <v>63</v>
      </c>
      <c r="BK43" s="21"/>
      <c r="BL43" s="21">
        <f>52758000/1000</f>
        <v>52758</v>
      </c>
      <c r="BM43" s="21"/>
      <c r="BN43" s="21">
        <f>52758000/1000</f>
        <v>52758</v>
      </c>
      <c r="BO43" s="21"/>
      <c r="BP43" s="21">
        <f>52652484/1000</f>
        <v>52652.484</v>
      </c>
      <c r="BQ43" s="21"/>
      <c r="BR43" s="21">
        <f>47561938/1000</f>
        <v>47561.938</v>
      </c>
      <c r="BS43" s="21"/>
      <c r="BT43" s="21">
        <f>45082291/1000</f>
        <v>45082.291</v>
      </c>
      <c r="BU43" s="21"/>
    </row>
    <row r="44" spans="3:73" ht="12" customHeight="1">
      <c r="C44" s="13" t="s">
        <v>16</v>
      </c>
      <c r="D44" s="13"/>
      <c r="E44" s="13"/>
      <c r="F44" s="16">
        <v>45268</v>
      </c>
      <c r="G44" s="16"/>
      <c r="H44" s="16">
        <v>65474</v>
      </c>
      <c r="I44" s="16"/>
      <c r="J44" s="16">
        <f>F44+H44</f>
        <v>110742</v>
      </c>
      <c r="K44" s="16"/>
      <c r="L44" s="16">
        <v>65474</v>
      </c>
      <c r="M44" s="16"/>
      <c r="N44" s="16">
        <v>57762</v>
      </c>
      <c r="O44" s="16"/>
      <c r="P44" s="16">
        <v>59621</v>
      </c>
      <c r="Q44" s="16"/>
      <c r="R44" s="16">
        <v>65572</v>
      </c>
      <c r="S44" s="16"/>
      <c r="T44" s="16">
        <v>68540</v>
      </c>
      <c r="U44" s="16"/>
      <c r="V44" s="16">
        <v>69047</v>
      </c>
      <c r="W44" s="16"/>
      <c r="X44" s="16">
        <v>70287</v>
      </c>
      <c r="Y44" s="16"/>
      <c r="Z44" s="16">
        <v>77644</v>
      </c>
      <c r="AA44" s="16"/>
      <c r="AB44" s="16">
        <v>78303</v>
      </c>
      <c r="AC44" s="16"/>
      <c r="AD44" s="16">
        <v>85576</v>
      </c>
      <c r="AE44" s="16"/>
      <c r="AF44" s="16">
        <v>79967</v>
      </c>
      <c r="AG44" s="16"/>
      <c r="AH44" s="16">
        <v>69285</v>
      </c>
      <c r="AI44" s="16"/>
      <c r="AJ44" s="16">
        <v>69285</v>
      </c>
      <c r="AK44" s="16"/>
      <c r="AL44" s="16">
        <v>71017</v>
      </c>
      <c r="AM44" s="18" t="s">
        <v>160</v>
      </c>
      <c r="AN44" s="16">
        <v>78517</v>
      </c>
      <c r="AO44" s="18" t="s">
        <v>163</v>
      </c>
      <c r="AP44" s="16">
        <v>74195</v>
      </c>
      <c r="AQ44" s="18"/>
      <c r="AR44" s="16">
        <v>76770</v>
      </c>
      <c r="AS44" s="18"/>
      <c r="AT44" s="16">
        <f>80770000/1000</f>
        <v>80770</v>
      </c>
      <c r="AU44" s="18"/>
      <c r="AV44" s="16">
        <f>77330066/1000</f>
        <v>77330.066</v>
      </c>
      <c r="AW44" s="18"/>
      <c r="AX44" s="16">
        <f>76873753/1000</f>
        <v>76873.753</v>
      </c>
      <c r="AY44" s="18"/>
      <c r="AZ44" s="16">
        <v>76259.008</v>
      </c>
      <c r="BA44" s="18"/>
      <c r="BB44" s="16">
        <f>76259008/1000</f>
        <v>76259.008</v>
      </c>
      <c r="BC44" s="18"/>
      <c r="BD44" s="16">
        <f>79751430/1000</f>
        <v>79751.43</v>
      </c>
      <c r="BE44" s="18"/>
      <c r="BF44" s="57">
        <f>79752000/1000</f>
        <v>79752</v>
      </c>
      <c r="BG44" s="57"/>
      <c r="BH44" s="21">
        <f>79668445/1000</f>
        <v>79668.445</v>
      </c>
      <c r="BI44" s="21"/>
      <c r="BJ44" s="21" t="s">
        <v>63</v>
      </c>
      <c r="BK44" s="21"/>
      <c r="BL44" s="21">
        <f>82620000/1000</f>
        <v>82620</v>
      </c>
      <c r="BM44" s="21"/>
      <c r="BN44" s="21">
        <f>84620000/1000</f>
        <v>84620</v>
      </c>
      <c r="BO44" s="21"/>
      <c r="BP44" s="21">
        <f>84450760/1000</f>
        <v>84450.76</v>
      </c>
      <c r="BQ44" s="21"/>
      <c r="BR44" s="21">
        <f>84291388/1000</f>
        <v>84291.388</v>
      </c>
      <c r="BS44" s="21"/>
      <c r="BT44" s="21">
        <f>79896847/1000</f>
        <v>79896.847</v>
      </c>
      <c r="BU44" s="21"/>
    </row>
    <row r="45" spans="3:73" ht="12.75">
      <c r="C45" s="13" t="s">
        <v>17</v>
      </c>
      <c r="D45" s="13"/>
      <c r="E45" s="13"/>
      <c r="F45" s="16">
        <v>7290</v>
      </c>
      <c r="G45" s="16"/>
      <c r="H45" s="16">
        <v>9720</v>
      </c>
      <c r="I45" s="16"/>
      <c r="J45" s="16">
        <f>F45+H45</f>
        <v>17010</v>
      </c>
      <c r="K45" s="16"/>
      <c r="L45" s="16">
        <v>9667</v>
      </c>
      <c r="M45" s="16"/>
      <c r="N45" s="16">
        <v>9251</v>
      </c>
      <c r="O45" s="16"/>
      <c r="P45" s="16">
        <v>10058</v>
      </c>
      <c r="Q45" s="16"/>
      <c r="R45" s="16">
        <v>9966</v>
      </c>
      <c r="S45" s="16"/>
      <c r="T45" s="16">
        <v>9517</v>
      </c>
      <c r="U45" s="16"/>
      <c r="V45" s="16">
        <v>9345</v>
      </c>
      <c r="W45" s="16"/>
      <c r="X45" s="16">
        <v>9120</v>
      </c>
      <c r="Y45" s="16"/>
      <c r="Z45" s="16">
        <v>9120</v>
      </c>
      <c r="AA45" s="16"/>
      <c r="AB45" s="16">
        <v>8957</v>
      </c>
      <c r="AC45" s="16"/>
      <c r="AD45" s="16">
        <v>8957</v>
      </c>
      <c r="AE45" s="16"/>
      <c r="AF45" s="16">
        <v>8880</v>
      </c>
      <c r="AG45" s="16"/>
      <c r="AH45" s="16">
        <v>7300</v>
      </c>
      <c r="AI45" s="16"/>
      <c r="AJ45" s="16">
        <v>7300</v>
      </c>
      <c r="AK45" s="16"/>
      <c r="AL45" s="16">
        <v>7300</v>
      </c>
      <c r="AM45" s="16"/>
      <c r="AN45" s="16">
        <v>7300</v>
      </c>
      <c r="AO45" s="16"/>
      <c r="AP45" s="16">
        <v>7300</v>
      </c>
      <c r="AQ45" s="16"/>
      <c r="AR45" s="16">
        <v>0</v>
      </c>
      <c r="AS45" s="16" t="s">
        <v>161</v>
      </c>
      <c r="AT45" s="21" t="s">
        <v>63</v>
      </c>
      <c r="AU45" s="16"/>
      <c r="AV45" s="21" t="s">
        <v>63</v>
      </c>
      <c r="AW45" s="17"/>
      <c r="AX45" s="21" t="s">
        <v>63</v>
      </c>
      <c r="AY45" s="17"/>
      <c r="AZ45" s="16"/>
      <c r="BA45" s="16"/>
      <c r="BB45" s="21" t="s">
        <v>63</v>
      </c>
      <c r="BC45" s="17"/>
      <c r="BD45" s="21" t="s">
        <v>63</v>
      </c>
      <c r="BE45" s="17"/>
      <c r="BF45" s="57" t="s">
        <v>63</v>
      </c>
      <c r="BG45" s="57"/>
      <c r="BH45" s="21" t="s">
        <v>63</v>
      </c>
      <c r="BI45" s="21"/>
      <c r="BJ45" s="21" t="s">
        <v>63</v>
      </c>
      <c r="BK45" s="21"/>
      <c r="BL45" s="21" t="s">
        <v>63</v>
      </c>
      <c r="BM45" s="21"/>
      <c r="BN45" s="21" t="s">
        <v>63</v>
      </c>
      <c r="BO45" s="21"/>
      <c r="BP45" s="21" t="s">
        <v>63</v>
      </c>
      <c r="BQ45" s="21"/>
      <c r="BR45" s="21" t="s">
        <v>63</v>
      </c>
      <c r="BS45" s="21"/>
      <c r="BT45" s="21" t="s">
        <v>63</v>
      </c>
      <c r="BU45" s="21"/>
    </row>
    <row r="46" spans="3:73" ht="12" customHeight="1">
      <c r="C46" s="13" t="s">
        <v>18</v>
      </c>
      <c r="D46" s="13"/>
      <c r="E46" s="13"/>
      <c r="F46" s="16">
        <f>SUM(F47:F69)</f>
        <v>46258</v>
      </c>
      <c r="G46" s="16"/>
      <c r="H46" s="16">
        <f>SUM(H47:H69)</f>
        <v>61678</v>
      </c>
      <c r="I46" s="16"/>
      <c r="J46" s="16">
        <f>SUM(J47:J69)</f>
        <v>107936</v>
      </c>
      <c r="K46" s="16"/>
      <c r="L46" s="16">
        <f>SUM(L47:L69)</f>
        <v>61078</v>
      </c>
      <c r="M46" s="16"/>
      <c r="N46" s="16">
        <f>SUM(N47:N69)</f>
        <v>58487</v>
      </c>
      <c r="O46" s="16"/>
      <c r="P46" s="16">
        <f>SUM(P47:P69)</f>
        <v>78500</v>
      </c>
      <c r="Q46" s="16"/>
      <c r="R46" s="16">
        <f>SUM(R47:R69)</f>
        <v>81547</v>
      </c>
      <c r="S46" s="16"/>
      <c r="T46" s="16">
        <f>SUM(T47:T69)</f>
        <v>68575</v>
      </c>
      <c r="U46" s="16"/>
      <c r="V46" s="16">
        <f>SUM(V47:V69)</f>
        <v>70224</v>
      </c>
      <c r="W46" s="16"/>
      <c r="X46" s="16">
        <f>SUM(X47:X69)</f>
        <v>71815</v>
      </c>
      <c r="Y46" s="16"/>
      <c r="Z46" s="16">
        <f>SUM(Z47:Z69)</f>
        <v>69359</v>
      </c>
      <c r="AA46" s="16"/>
      <c r="AB46" s="16">
        <f>SUM(AB47:AB69)</f>
        <v>116652</v>
      </c>
      <c r="AC46" s="16"/>
      <c r="AD46" s="16">
        <f>SUM(AD47:AD69)</f>
        <v>96152</v>
      </c>
      <c r="AE46" s="16"/>
      <c r="AF46" s="16">
        <f>SUM(AF47:AF69)</f>
        <v>53381</v>
      </c>
      <c r="AG46" s="16"/>
      <c r="AH46" s="16">
        <f>SUM(AH47:AH69)</f>
        <v>46825</v>
      </c>
      <c r="AI46" s="16"/>
      <c r="AJ46" s="16">
        <f>SUM(AJ47:AJ69)</f>
        <v>46825</v>
      </c>
      <c r="AK46" s="16"/>
      <c r="AL46" s="16">
        <f>SUM(AL47:AL69)</f>
        <v>96402</v>
      </c>
      <c r="AM46" s="16"/>
      <c r="AN46" s="16">
        <f>SUM(AN47:AN69)</f>
        <v>81598</v>
      </c>
      <c r="AO46" s="16"/>
      <c r="AP46" s="16">
        <f>SUM(AP47:AP69)</f>
        <v>168695.136</v>
      </c>
      <c r="AQ46" s="16"/>
      <c r="AR46" s="16">
        <f>SUM(AR47:AR69)</f>
        <v>304144.3</v>
      </c>
      <c r="AS46" s="16"/>
      <c r="AT46" s="16">
        <f>SUM(AT47:AT69)</f>
        <v>299909.225</v>
      </c>
      <c r="AU46" s="16"/>
      <c r="AV46" s="16">
        <f>SUM(AV47:AV69)</f>
        <v>239570.231</v>
      </c>
      <c r="AW46" s="17"/>
      <c r="AX46" s="16">
        <f>SUM(AX47:AX69)</f>
        <v>126035.44675</v>
      </c>
      <c r="AY46" s="17"/>
      <c r="AZ46" s="16">
        <f>SUM(AZ47:AZ69)</f>
        <v>296445.31200000003</v>
      </c>
      <c r="BA46" s="16"/>
      <c r="BB46" s="16">
        <f>SUM(BB47:BB69)</f>
        <v>401041.136</v>
      </c>
      <c r="BC46" s="17"/>
      <c r="BD46" s="16">
        <f>SUM(BD47:BD69)</f>
        <v>248338.93503999998</v>
      </c>
      <c r="BE46" s="17"/>
      <c r="BF46" s="16">
        <f>SUM(BF47:BF69)</f>
        <v>229921.18761</v>
      </c>
      <c r="BG46" s="57"/>
      <c r="BH46" s="16">
        <f>SUM(BH47:BH69)</f>
        <v>264128.15733</v>
      </c>
      <c r="BI46" s="21"/>
      <c r="BJ46" s="21">
        <f>SUM(BJ47:BJ71)</f>
        <v>742500</v>
      </c>
      <c r="BK46" s="21"/>
      <c r="BL46" s="16">
        <f>SUM(BL47:BL71)</f>
        <v>278390.95511</v>
      </c>
      <c r="BM46" s="21"/>
      <c r="BN46" s="16">
        <f>SUM(BN47:BN71)</f>
        <v>378069.359</v>
      </c>
      <c r="BO46" s="21"/>
      <c r="BP46" s="16">
        <f>SUM(BP47:BP71)</f>
        <v>248400.946</v>
      </c>
      <c r="BQ46" s="21"/>
      <c r="BR46" s="16">
        <f>SUM(BR47:BR71)</f>
        <v>264099.97199999995</v>
      </c>
      <c r="BS46" s="21"/>
      <c r="BT46" s="16">
        <f>SUM(BT47:BT71)</f>
        <v>248680.153</v>
      </c>
      <c r="BU46" s="21"/>
    </row>
    <row r="47" spans="4:73" ht="12" customHeight="1">
      <c r="D47" s="18" t="s">
        <v>19</v>
      </c>
      <c r="E47" s="13"/>
      <c r="F47" s="16">
        <v>5468</v>
      </c>
      <c r="G47" s="16"/>
      <c r="H47" s="16">
        <v>7290</v>
      </c>
      <c r="I47" s="16"/>
      <c r="J47" s="16">
        <f>F47+H47</f>
        <v>12758</v>
      </c>
      <c r="K47" s="16"/>
      <c r="L47" s="16">
        <v>7290</v>
      </c>
      <c r="M47" s="16"/>
      <c r="N47" s="16">
        <v>4106</v>
      </c>
      <c r="O47" s="16"/>
      <c r="P47" s="16">
        <v>4790</v>
      </c>
      <c r="Q47" s="16"/>
      <c r="R47" s="16">
        <v>4347</v>
      </c>
      <c r="S47" s="16"/>
      <c r="T47" s="16">
        <v>4875</v>
      </c>
      <c r="U47" s="16"/>
      <c r="V47" s="16">
        <v>4374</v>
      </c>
      <c r="W47" s="16"/>
      <c r="X47" s="16">
        <v>4098</v>
      </c>
      <c r="Y47" s="16"/>
      <c r="Z47" s="16">
        <v>3698</v>
      </c>
      <c r="AA47" s="16"/>
      <c r="AB47" s="16">
        <v>2946</v>
      </c>
      <c r="AC47" s="16"/>
      <c r="AD47" s="16">
        <v>2970</v>
      </c>
      <c r="AE47" s="16"/>
      <c r="AF47" s="16">
        <v>5489</v>
      </c>
      <c r="AG47" s="16"/>
      <c r="AH47" s="16">
        <v>5489</v>
      </c>
      <c r="AI47" s="16"/>
      <c r="AJ47" s="16">
        <v>5489</v>
      </c>
      <c r="AK47" s="16"/>
      <c r="AL47" s="16">
        <v>8489</v>
      </c>
      <c r="AM47" s="16"/>
      <c r="AN47" s="21" t="s">
        <v>63</v>
      </c>
      <c r="AO47" s="16"/>
      <c r="AP47" s="21" t="s">
        <v>63</v>
      </c>
      <c r="AQ47" s="16"/>
      <c r="AR47" s="21" t="s">
        <v>63</v>
      </c>
      <c r="AS47" s="16"/>
      <c r="AT47" s="21" t="s">
        <v>63</v>
      </c>
      <c r="AU47" s="16"/>
      <c r="AV47" s="21" t="s">
        <v>63</v>
      </c>
      <c r="AW47" s="17"/>
      <c r="AX47" s="21" t="s">
        <v>63</v>
      </c>
      <c r="AY47" s="17"/>
      <c r="AZ47" s="16"/>
      <c r="BA47" s="16"/>
      <c r="BB47" s="21" t="s">
        <v>63</v>
      </c>
      <c r="BC47" s="17"/>
      <c r="BD47" s="21" t="s">
        <v>63</v>
      </c>
      <c r="BE47" s="17"/>
      <c r="BF47" s="21" t="s">
        <v>63</v>
      </c>
      <c r="BG47" s="57"/>
      <c r="BH47" s="21" t="s">
        <v>63</v>
      </c>
      <c r="BI47" s="21"/>
      <c r="BJ47" s="21" t="s">
        <v>63</v>
      </c>
      <c r="BK47" s="21"/>
      <c r="BL47" s="21" t="s">
        <v>63</v>
      </c>
      <c r="BM47" s="21"/>
      <c r="BN47" s="21" t="s">
        <v>63</v>
      </c>
      <c r="BO47" s="21"/>
      <c r="BP47" s="21" t="s">
        <v>63</v>
      </c>
      <c r="BQ47" s="21"/>
      <c r="BR47" s="21" t="s">
        <v>63</v>
      </c>
      <c r="BS47" s="21"/>
      <c r="BT47" s="21" t="s">
        <v>63</v>
      </c>
      <c r="BU47" s="21"/>
    </row>
    <row r="48" spans="4:73" ht="12" customHeight="1">
      <c r="D48" s="18" t="s">
        <v>75</v>
      </c>
      <c r="E48" s="13"/>
      <c r="F48" s="16">
        <v>9142</v>
      </c>
      <c r="G48" s="16"/>
      <c r="H48" s="16">
        <v>12190</v>
      </c>
      <c r="I48" s="16"/>
      <c r="J48" s="16">
        <f>F48+H48</f>
        <v>21332</v>
      </c>
      <c r="K48" s="16"/>
      <c r="L48" s="16">
        <v>12190</v>
      </c>
      <c r="M48" s="16"/>
      <c r="N48" s="16">
        <v>14572</v>
      </c>
      <c r="O48" s="16"/>
      <c r="P48" s="16">
        <v>20190</v>
      </c>
      <c r="Q48" s="16"/>
      <c r="R48" s="16">
        <v>18227</v>
      </c>
      <c r="S48" s="16"/>
      <c r="T48" s="16">
        <v>13429</v>
      </c>
      <c r="U48" s="16"/>
      <c r="V48" s="16">
        <v>15712</v>
      </c>
      <c r="W48" s="16"/>
      <c r="X48" s="16">
        <v>12927</v>
      </c>
      <c r="Y48" s="16"/>
      <c r="Z48" s="16">
        <v>10000</v>
      </c>
      <c r="AA48" s="16"/>
      <c r="AB48" s="16">
        <v>8301</v>
      </c>
      <c r="AC48" s="16"/>
      <c r="AD48" s="16">
        <v>12301</v>
      </c>
      <c r="AE48" s="16"/>
      <c r="AF48" s="16">
        <v>9196</v>
      </c>
      <c r="AG48" s="16"/>
      <c r="AH48" s="16">
        <v>6196</v>
      </c>
      <c r="AI48" s="16"/>
      <c r="AJ48" s="16">
        <v>6196</v>
      </c>
      <c r="AK48" s="16"/>
      <c r="AL48" s="16">
        <v>8196</v>
      </c>
      <c r="AM48" s="16"/>
      <c r="AN48" s="16">
        <v>9098</v>
      </c>
      <c r="AO48" s="16"/>
      <c r="AP48" s="21" t="s">
        <v>63</v>
      </c>
      <c r="AQ48" s="16"/>
      <c r="AR48" s="21" t="s">
        <v>63</v>
      </c>
      <c r="AS48" s="16"/>
      <c r="AT48" s="21" t="s">
        <v>63</v>
      </c>
      <c r="AU48" s="16"/>
      <c r="AV48" s="21" t="s">
        <v>63</v>
      </c>
      <c r="AW48" s="17"/>
      <c r="AX48" s="21" t="s">
        <v>63</v>
      </c>
      <c r="AY48" s="17"/>
      <c r="AZ48" s="16"/>
      <c r="BA48" s="16"/>
      <c r="BB48" s="21" t="s">
        <v>63</v>
      </c>
      <c r="BC48" s="17"/>
      <c r="BD48" s="21" t="s">
        <v>63</v>
      </c>
      <c r="BE48" s="17"/>
      <c r="BF48" s="21" t="s">
        <v>63</v>
      </c>
      <c r="BG48" s="57"/>
      <c r="BH48" s="21" t="s">
        <v>63</v>
      </c>
      <c r="BI48" s="21"/>
      <c r="BJ48" s="21" t="s">
        <v>63</v>
      </c>
      <c r="BK48" s="21"/>
      <c r="BL48" s="21" t="s">
        <v>63</v>
      </c>
      <c r="BM48" s="21"/>
      <c r="BN48" s="21" t="s">
        <v>63</v>
      </c>
      <c r="BO48" s="21"/>
      <c r="BP48" s="21" t="s">
        <v>63</v>
      </c>
      <c r="BQ48" s="21"/>
      <c r="BR48" s="21" t="s">
        <v>63</v>
      </c>
      <c r="BS48" s="21"/>
      <c r="BT48" s="21" t="s">
        <v>63</v>
      </c>
      <c r="BU48" s="21"/>
    </row>
    <row r="49" spans="4:73" ht="12" customHeight="1">
      <c r="D49" s="18" t="s">
        <v>76</v>
      </c>
      <c r="E49" s="13"/>
      <c r="F49" s="16">
        <v>15973</v>
      </c>
      <c r="G49" s="16"/>
      <c r="H49" s="16">
        <v>21298</v>
      </c>
      <c r="I49" s="16"/>
      <c r="J49" s="16">
        <f>F49+H49</f>
        <v>37271</v>
      </c>
      <c r="K49" s="16"/>
      <c r="L49" s="16">
        <v>20698</v>
      </c>
      <c r="M49" s="16"/>
      <c r="N49" s="16">
        <v>19808</v>
      </c>
      <c r="O49" s="16"/>
      <c r="P49" s="16">
        <v>31620</v>
      </c>
      <c r="Q49" s="16"/>
      <c r="R49" s="16">
        <v>38964</v>
      </c>
      <c r="S49" s="16"/>
      <c r="T49" s="16">
        <v>30253</v>
      </c>
      <c r="U49" s="16"/>
      <c r="V49" s="16">
        <v>30467</v>
      </c>
      <c r="W49" s="16"/>
      <c r="X49" s="16">
        <v>36215</v>
      </c>
      <c r="Y49" s="16"/>
      <c r="Z49" s="16">
        <v>35753</v>
      </c>
      <c r="AA49" s="16"/>
      <c r="AB49" s="16">
        <v>37610</v>
      </c>
      <c r="AC49" s="17" t="s">
        <v>158</v>
      </c>
      <c r="AD49" s="16">
        <v>35830</v>
      </c>
      <c r="AE49" s="16"/>
      <c r="AF49" s="16">
        <v>33196</v>
      </c>
      <c r="AG49" s="16"/>
      <c r="AH49" s="16">
        <v>27140</v>
      </c>
      <c r="AI49" s="16"/>
      <c r="AJ49" s="16">
        <v>27140</v>
      </c>
      <c r="AK49" s="16"/>
      <c r="AL49" s="16">
        <v>70717</v>
      </c>
      <c r="AM49" s="17" t="s">
        <v>158</v>
      </c>
      <c r="AN49" s="16">
        <v>63500</v>
      </c>
      <c r="AO49" s="17" t="s">
        <v>158</v>
      </c>
      <c r="AP49" s="21" t="s">
        <v>63</v>
      </c>
      <c r="AQ49" s="17"/>
      <c r="AR49" s="21" t="s">
        <v>63</v>
      </c>
      <c r="AS49" s="17"/>
      <c r="AT49" s="21" t="s">
        <v>63</v>
      </c>
      <c r="AU49" s="17"/>
      <c r="AV49" s="21" t="s">
        <v>63</v>
      </c>
      <c r="AW49" s="17"/>
      <c r="AX49" s="21" t="s">
        <v>63</v>
      </c>
      <c r="AY49" s="17"/>
      <c r="AZ49" s="16"/>
      <c r="BA49" s="17"/>
      <c r="BB49" s="21" t="s">
        <v>63</v>
      </c>
      <c r="BC49" s="17"/>
      <c r="BD49" s="21" t="s">
        <v>63</v>
      </c>
      <c r="BE49" s="17"/>
      <c r="BF49" s="21" t="s">
        <v>63</v>
      </c>
      <c r="BG49" s="57"/>
      <c r="BH49" s="21" t="s">
        <v>63</v>
      </c>
      <c r="BI49" s="21"/>
      <c r="BJ49" s="21" t="s">
        <v>63</v>
      </c>
      <c r="BK49" s="21"/>
      <c r="BL49" s="21" t="s">
        <v>63</v>
      </c>
      <c r="BM49" s="21"/>
      <c r="BN49" s="21" t="s">
        <v>63</v>
      </c>
      <c r="BO49" s="21"/>
      <c r="BP49" s="21" t="s">
        <v>63</v>
      </c>
      <c r="BQ49" s="21"/>
      <c r="BR49" s="21" t="s">
        <v>63</v>
      </c>
      <c r="BS49" s="21"/>
      <c r="BT49" s="21" t="s">
        <v>63</v>
      </c>
      <c r="BU49" s="21"/>
    </row>
    <row r="50" spans="4:73" ht="12" customHeight="1">
      <c r="D50" s="18" t="s">
        <v>77</v>
      </c>
      <c r="E50" s="13"/>
      <c r="F50" s="21" t="s">
        <v>63</v>
      </c>
      <c r="G50" s="16"/>
      <c r="H50" s="21" t="s">
        <v>63</v>
      </c>
      <c r="I50" s="16"/>
      <c r="J50" s="21" t="s">
        <v>63</v>
      </c>
      <c r="K50" s="16"/>
      <c r="L50" s="21" t="s">
        <v>63</v>
      </c>
      <c r="M50" s="16"/>
      <c r="N50" s="21" t="s">
        <v>63</v>
      </c>
      <c r="O50" s="13"/>
      <c r="P50" s="21" t="s">
        <v>63</v>
      </c>
      <c r="Q50" s="16"/>
      <c r="R50" s="21" t="s">
        <v>63</v>
      </c>
      <c r="S50" s="16"/>
      <c r="T50" s="21" t="s">
        <v>63</v>
      </c>
      <c r="U50" s="16"/>
      <c r="V50" s="21" t="s">
        <v>63</v>
      </c>
      <c r="W50" s="16"/>
      <c r="X50" s="21" t="s">
        <v>63</v>
      </c>
      <c r="Y50" s="13"/>
      <c r="Z50" s="21" t="s">
        <v>63</v>
      </c>
      <c r="AA50" s="16"/>
      <c r="AB50" s="21" t="s">
        <v>63</v>
      </c>
      <c r="AC50" s="16"/>
      <c r="AD50" s="19" t="s">
        <v>63</v>
      </c>
      <c r="AE50" s="13"/>
      <c r="AF50" s="21" t="s">
        <v>63</v>
      </c>
      <c r="AG50" s="16"/>
      <c r="AH50" s="21" t="s">
        <v>63</v>
      </c>
      <c r="AI50" s="16"/>
      <c r="AJ50" s="19" t="s">
        <v>63</v>
      </c>
      <c r="AK50" s="16"/>
      <c r="AL50" s="19" t="s">
        <v>63</v>
      </c>
      <c r="AM50" s="16"/>
      <c r="AN50" s="19" t="s">
        <v>63</v>
      </c>
      <c r="AO50" s="16"/>
      <c r="AP50" s="19">
        <v>65095</v>
      </c>
      <c r="AQ50" s="16"/>
      <c r="AR50" s="19">
        <v>97432</v>
      </c>
      <c r="AS50" s="16"/>
      <c r="AT50" s="19">
        <f>(130149000-71000)/1000</f>
        <v>130078</v>
      </c>
      <c r="AU50" s="16" t="s">
        <v>161</v>
      </c>
      <c r="AV50" s="19">
        <f>67854.718+160</f>
        <v>68014.718</v>
      </c>
      <c r="AW50" s="17" t="s">
        <v>160</v>
      </c>
      <c r="AX50" s="19">
        <f>57751.245+795.28</f>
        <v>58546.525</v>
      </c>
      <c r="AY50" s="17" t="s">
        <v>161</v>
      </c>
      <c r="AZ50" s="19">
        <v>85167.168</v>
      </c>
      <c r="BA50" s="16"/>
      <c r="BB50" s="19">
        <f>85167168/1000</f>
        <v>85167.168</v>
      </c>
      <c r="BC50" s="17"/>
      <c r="BD50" s="19">
        <f>29700000/1000</f>
        <v>29700</v>
      </c>
      <c r="BE50" s="17"/>
      <c r="BF50" s="57">
        <f>14700000/1000</f>
        <v>14700</v>
      </c>
      <c r="BG50" s="57"/>
      <c r="BH50" s="21">
        <f>48507506/1000</f>
        <v>48507.506</v>
      </c>
      <c r="BI50" s="21"/>
      <c r="BJ50" s="21" t="s">
        <v>63</v>
      </c>
      <c r="BK50" s="21"/>
      <c r="BL50" s="21">
        <f>48781000/1000</f>
        <v>48781</v>
      </c>
      <c r="BM50" s="21"/>
      <c r="BN50" s="21">
        <f>93450000/1000</f>
        <v>93450</v>
      </c>
      <c r="BO50" s="21"/>
      <c r="BP50" s="21">
        <f>9980000/1000</f>
        <v>9980</v>
      </c>
      <c r="BQ50" s="21"/>
      <c r="BR50" s="21">
        <f>6603496/1000</f>
        <v>6603.496</v>
      </c>
      <c r="BS50" s="21"/>
      <c r="BT50" s="21">
        <f>6259222/1000</f>
        <v>6259.222</v>
      </c>
      <c r="BU50" s="21"/>
    </row>
    <row r="51" spans="4:73" ht="12" customHeight="1">
      <c r="D51" s="18" t="s">
        <v>115</v>
      </c>
      <c r="E51" s="13"/>
      <c r="F51" s="21" t="s">
        <v>63</v>
      </c>
      <c r="G51" s="16"/>
      <c r="H51" s="21" t="s">
        <v>63</v>
      </c>
      <c r="I51" s="16"/>
      <c r="J51" s="21" t="s">
        <v>63</v>
      </c>
      <c r="K51" s="16"/>
      <c r="L51" s="21" t="s">
        <v>63</v>
      </c>
      <c r="M51" s="16"/>
      <c r="N51" s="21" t="s">
        <v>63</v>
      </c>
      <c r="O51" s="16"/>
      <c r="P51" s="21" t="s">
        <v>63</v>
      </c>
      <c r="Q51" s="16"/>
      <c r="R51" s="21" t="s">
        <v>63</v>
      </c>
      <c r="S51" s="16"/>
      <c r="T51" s="21" t="s">
        <v>63</v>
      </c>
      <c r="U51" s="16"/>
      <c r="V51" s="21" t="s">
        <v>63</v>
      </c>
      <c r="W51" s="16"/>
      <c r="X51" s="21" t="s">
        <v>63</v>
      </c>
      <c r="Y51" s="16"/>
      <c r="Z51" s="21" t="s">
        <v>63</v>
      </c>
      <c r="AA51" s="16"/>
      <c r="AB51" s="21" t="s">
        <v>63</v>
      </c>
      <c r="AC51" s="16"/>
      <c r="AD51" s="21" t="s">
        <v>63</v>
      </c>
      <c r="AE51" s="16"/>
      <c r="AF51" s="21" t="s">
        <v>63</v>
      </c>
      <c r="AG51" s="16"/>
      <c r="AH51" s="21" t="s">
        <v>63</v>
      </c>
      <c r="AI51" s="16"/>
      <c r="AJ51" s="19" t="s">
        <v>63</v>
      </c>
      <c r="AK51" s="16"/>
      <c r="AL51" s="21" t="s">
        <v>63</v>
      </c>
      <c r="AM51" s="16"/>
      <c r="AN51" s="21" t="s">
        <v>63</v>
      </c>
      <c r="AO51" s="16"/>
      <c r="AP51" s="21" t="s">
        <v>63</v>
      </c>
      <c r="AQ51" s="16"/>
      <c r="AR51" s="21" t="s">
        <v>63</v>
      </c>
      <c r="AS51" s="16"/>
      <c r="AT51" s="21" t="s">
        <v>63</v>
      </c>
      <c r="AU51" s="16"/>
      <c r="AV51" s="21" t="s">
        <v>63</v>
      </c>
      <c r="AW51" s="17"/>
      <c r="AX51" s="19">
        <f>4970500/1000</f>
        <v>4970.5</v>
      </c>
      <c r="AY51" s="17"/>
      <c r="AZ51" s="19">
        <v>6944</v>
      </c>
      <c r="BA51" s="16"/>
      <c r="BB51" s="19">
        <f>6944000/1000</f>
        <v>6944</v>
      </c>
      <c r="BC51" s="17"/>
      <c r="BD51" s="19">
        <f>6874560/1000</f>
        <v>6874.56</v>
      </c>
      <c r="BE51" s="17"/>
      <c r="BF51" s="57">
        <f>6875000/1000</f>
        <v>6875</v>
      </c>
      <c r="BG51" s="57"/>
      <c r="BH51" s="21">
        <f>6754894/1000</f>
        <v>6754.894</v>
      </c>
      <c r="BI51" s="21"/>
      <c r="BJ51" s="21" t="s">
        <v>63</v>
      </c>
      <c r="BK51" s="21"/>
      <c r="BL51" s="21">
        <f>3378000/1000</f>
        <v>3378</v>
      </c>
      <c r="BM51" s="21"/>
      <c r="BN51" s="21">
        <v>0</v>
      </c>
      <c r="BO51" s="21"/>
      <c r="BP51" s="21">
        <v>0</v>
      </c>
      <c r="BQ51" s="21"/>
      <c r="BR51" s="21">
        <v>0</v>
      </c>
      <c r="BS51" s="21"/>
      <c r="BT51" s="21">
        <v>0</v>
      </c>
      <c r="BU51" s="21"/>
    </row>
    <row r="52" spans="4:73" ht="12" customHeight="1">
      <c r="D52" s="18" t="s">
        <v>78</v>
      </c>
      <c r="E52" s="13"/>
      <c r="F52" s="21" t="s">
        <v>63</v>
      </c>
      <c r="G52" s="16"/>
      <c r="H52" s="21" t="s">
        <v>63</v>
      </c>
      <c r="I52" s="16"/>
      <c r="J52" s="21" t="s">
        <v>63</v>
      </c>
      <c r="K52" s="16"/>
      <c r="L52" s="21" t="s">
        <v>63</v>
      </c>
      <c r="M52" s="16"/>
      <c r="N52" s="21" t="s">
        <v>63</v>
      </c>
      <c r="O52" s="16"/>
      <c r="P52" s="21" t="s">
        <v>63</v>
      </c>
      <c r="Q52" s="16"/>
      <c r="R52" s="21" t="s">
        <v>63</v>
      </c>
      <c r="S52" s="16"/>
      <c r="T52" s="21" t="s">
        <v>63</v>
      </c>
      <c r="U52" s="16"/>
      <c r="V52" s="21" t="s">
        <v>63</v>
      </c>
      <c r="W52" s="16"/>
      <c r="X52" s="21" t="s">
        <v>63</v>
      </c>
      <c r="Y52" s="16"/>
      <c r="Z52" s="21" t="s">
        <v>63</v>
      </c>
      <c r="AA52" s="16"/>
      <c r="AB52" s="21" t="s">
        <v>63</v>
      </c>
      <c r="AC52" s="16"/>
      <c r="AD52" s="19" t="s">
        <v>63</v>
      </c>
      <c r="AE52" s="16"/>
      <c r="AF52" s="21" t="s">
        <v>63</v>
      </c>
      <c r="AG52" s="16"/>
      <c r="AH52" s="21" t="s">
        <v>63</v>
      </c>
      <c r="AI52" s="16"/>
      <c r="AJ52" s="19" t="s">
        <v>63</v>
      </c>
      <c r="AK52" s="16"/>
      <c r="AL52" s="19" t="s">
        <v>63</v>
      </c>
      <c r="AM52" s="16"/>
      <c r="AN52" s="19" t="s">
        <v>63</v>
      </c>
      <c r="AO52" s="16"/>
      <c r="AP52" s="19">
        <v>9098</v>
      </c>
      <c r="AQ52" s="16"/>
      <c r="AR52" s="19">
        <v>9098</v>
      </c>
      <c r="AS52" s="16"/>
      <c r="AT52" s="19">
        <f>9098000/1000</f>
        <v>9098</v>
      </c>
      <c r="AU52" s="16"/>
      <c r="AV52" s="19">
        <f>9038.863+195</f>
        <v>9233.863</v>
      </c>
      <c r="AW52" s="17" t="s">
        <v>160</v>
      </c>
      <c r="AX52" s="19">
        <f>8985670/1000</f>
        <v>8985.67</v>
      </c>
      <c r="AY52" s="17"/>
      <c r="AZ52" s="19">
        <v>7936</v>
      </c>
      <c r="BA52" s="16"/>
      <c r="BB52" s="19">
        <f>7936000/1000</f>
        <v>7936</v>
      </c>
      <c r="BC52" s="17"/>
      <c r="BD52" s="19">
        <f>7856640/1000</f>
        <v>7856.64</v>
      </c>
      <c r="BE52" s="17"/>
      <c r="BF52" s="57">
        <f>4921000/1000</f>
        <v>4921</v>
      </c>
      <c r="BG52" s="57"/>
      <c r="BH52" s="21">
        <f>4835030/1000</f>
        <v>4835.03</v>
      </c>
      <c r="BI52" s="21"/>
      <c r="BJ52" s="21" t="s">
        <v>63</v>
      </c>
      <c r="BK52" s="21"/>
      <c r="BL52" s="21">
        <f>6918000/1000</f>
        <v>6918</v>
      </c>
      <c r="BM52" s="21"/>
      <c r="BN52" s="21">
        <f>9600000/1000</f>
        <v>9600</v>
      </c>
      <c r="BO52" s="21"/>
      <c r="BP52" s="21">
        <f>9580800/1000</f>
        <v>9580.8</v>
      </c>
      <c r="BQ52" s="21"/>
      <c r="BR52" s="21">
        <f>9562892/1000</f>
        <v>9562.892</v>
      </c>
      <c r="BS52" s="21"/>
      <c r="BT52" s="21">
        <f>9064330/1000</f>
        <v>9064.33</v>
      </c>
      <c r="BU52" s="21"/>
    </row>
    <row r="53" spans="4:73" ht="12" customHeight="1">
      <c r="D53" s="18" t="s">
        <v>211</v>
      </c>
      <c r="E53" s="13"/>
      <c r="F53" s="21"/>
      <c r="G53" s="16"/>
      <c r="H53" s="21"/>
      <c r="I53" s="16"/>
      <c r="J53" s="21"/>
      <c r="K53" s="16"/>
      <c r="L53" s="21"/>
      <c r="M53" s="16"/>
      <c r="N53" s="21"/>
      <c r="O53" s="16"/>
      <c r="P53" s="21"/>
      <c r="Q53" s="16"/>
      <c r="R53" s="21"/>
      <c r="S53" s="16"/>
      <c r="T53" s="21"/>
      <c r="U53" s="16"/>
      <c r="V53" s="21"/>
      <c r="W53" s="16"/>
      <c r="X53" s="21"/>
      <c r="Y53" s="16"/>
      <c r="Z53" s="21"/>
      <c r="AA53" s="16"/>
      <c r="AB53" s="21"/>
      <c r="AC53" s="16"/>
      <c r="AD53" s="19"/>
      <c r="AE53" s="16"/>
      <c r="AF53" s="21"/>
      <c r="AG53" s="16"/>
      <c r="AH53" s="21"/>
      <c r="AI53" s="16"/>
      <c r="AJ53" s="19"/>
      <c r="AK53" s="16"/>
      <c r="AL53" s="19"/>
      <c r="AM53" s="16"/>
      <c r="AN53" s="19"/>
      <c r="AO53" s="16"/>
      <c r="AP53" s="19"/>
      <c r="AQ53" s="16"/>
      <c r="AR53" s="19"/>
      <c r="AS53" s="16"/>
      <c r="AT53" s="19"/>
      <c r="AU53" s="16"/>
      <c r="AV53" s="19"/>
      <c r="AW53" s="17"/>
      <c r="AX53" s="19"/>
      <c r="AY53" s="17"/>
      <c r="AZ53" s="19"/>
      <c r="BA53" s="16"/>
      <c r="BB53" s="19"/>
      <c r="BC53" s="17"/>
      <c r="BD53" s="19"/>
      <c r="BE53" s="17"/>
      <c r="BF53" s="57"/>
      <c r="BG53" s="57"/>
      <c r="BH53" s="21"/>
      <c r="BI53" s="21"/>
      <c r="BJ53" s="21"/>
      <c r="BK53" s="21"/>
      <c r="BL53" s="21">
        <v>0</v>
      </c>
      <c r="BM53" s="21"/>
      <c r="BN53" s="21">
        <f>40000000/1000</f>
        <v>40000</v>
      </c>
      <c r="BO53" s="19" t="s">
        <v>162</v>
      </c>
      <c r="BP53" s="21">
        <v>0</v>
      </c>
      <c r="BQ53" s="19"/>
      <c r="BR53" s="21">
        <v>0</v>
      </c>
      <c r="BS53" s="19"/>
      <c r="BT53" s="21">
        <v>0</v>
      </c>
      <c r="BU53" s="19"/>
    </row>
    <row r="54" spans="4:73" ht="12" customHeight="1">
      <c r="D54" s="18" t="s">
        <v>214</v>
      </c>
      <c r="E54" s="13"/>
      <c r="F54" s="21"/>
      <c r="G54" s="16"/>
      <c r="H54" s="21"/>
      <c r="I54" s="16"/>
      <c r="J54" s="21"/>
      <c r="K54" s="16"/>
      <c r="L54" s="21"/>
      <c r="M54" s="16"/>
      <c r="N54" s="21"/>
      <c r="O54" s="16"/>
      <c r="P54" s="21"/>
      <c r="Q54" s="16"/>
      <c r="R54" s="21"/>
      <c r="S54" s="16"/>
      <c r="T54" s="21"/>
      <c r="U54" s="16"/>
      <c r="V54" s="21"/>
      <c r="W54" s="16"/>
      <c r="X54" s="21"/>
      <c r="Y54" s="16"/>
      <c r="Z54" s="21"/>
      <c r="AA54" s="16"/>
      <c r="AB54" s="21"/>
      <c r="AC54" s="16"/>
      <c r="AD54" s="19"/>
      <c r="AE54" s="16"/>
      <c r="AF54" s="21"/>
      <c r="AG54" s="16"/>
      <c r="AH54" s="21"/>
      <c r="AI54" s="16"/>
      <c r="AJ54" s="19"/>
      <c r="AK54" s="16"/>
      <c r="AL54" s="19"/>
      <c r="AM54" s="16"/>
      <c r="AN54" s="19"/>
      <c r="AO54" s="16"/>
      <c r="AP54" s="19"/>
      <c r="AQ54" s="16"/>
      <c r="AR54" s="19"/>
      <c r="AS54" s="16"/>
      <c r="AT54" s="19"/>
      <c r="AU54" s="16"/>
      <c r="AV54" s="19"/>
      <c r="AW54" s="17"/>
      <c r="AX54" s="19"/>
      <c r="AY54" s="17"/>
      <c r="AZ54" s="19"/>
      <c r="BA54" s="16"/>
      <c r="BB54" s="19"/>
      <c r="BC54" s="17"/>
      <c r="BD54" s="19"/>
      <c r="BE54" s="17"/>
      <c r="BF54" s="57"/>
      <c r="BG54" s="57"/>
      <c r="BH54" s="21"/>
      <c r="BI54" s="21"/>
      <c r="BJ54" s="21"/>
      <c r="BK54" s="21"/>
      <c r="BL54" s="21"/>
      <c r="BM54" s="21"/>
      <c r="BN54" s="21">
        <f>12500000/1000</f>
        <v>12500</v>
      </c>
      <c r="BO54" s="19" t="s">
        <v>162</v>
      </c>
      <c r="BP54" s="21">
        <f>12475000/1000</f>
        <v>12475</v>
      </c>
      <c r="BQ54" s="19"/>
      <c r="BR54" s="21">
        <f>6462762/1000</f>
        <v>6462.762</v>
      </c>
      <c r="BS54" s="19"/>
      <c r="BT54" s="21">
        <f>6125825/1000</f>
        <v>6125.825</v>
      </c>
      <c r="BU54" s="19"/>
    </row>
    <row r="55" spans="4:73" ht="12" customHeight="1">
      <c r="D55" s="18" t="s">
        <v>79</v>
      </c>
      <c r="E55" s="13"/>
      <c r="F55" s="21" t="s">
        <v>63</v>
      </c>
      <c r="G55" s="16"/>
      <c r="H55" s="21" t="s">
        <v>63</v>
      </c>
      <c r="I55" s="16"/>
      <c r="J55" s="21" t="s">
        <v>63</v>
      </c>
      <c r="K55" s="16"/>
      <c r="L55" s="21" t="s">
        <v>63</v>
      </c>
      <c r="M55" s="16"/>
      <c r="N55" s="21" t="s">
        <v>63</v>
      </c>
      <c r="O55" s="16"/>
      <c r="P55" s="21" t="s">
        <v>63</v>
      </c>
      <c r="Q55" s="16"/>
      <c r="R55" s="21" t="s">
        <v>63</v>
      </c>
      <c r="S55" s="16"/>
      <c r="T55" s="21" t="s">
        <v>63</v>
      </c>
      <c r="U55" s="16"/>
      <c r="V55" s="21" t="s">
        <v>63</v>
      </c>
      <c r="W55" s="16"/>
      <c r="X55" s="21" t="s">
        <v>63</v>
      </c>
      <c r="Y55" s="16"/>
      <c r="Z55" s="21" t="s">
        <v>63</v>
      </c>
      <c r="AA55" s="16"/>
      <c r="AB55" s="21" t="s">
        <v>63</v>
      </c>
      <c r="AC55" s="16"/>
      <c r="AD55" s="19" t="s">
        <v>63</v>
      </c>
      <c r="AE55" s="16"/>
      <c r="AF55" s="21" t="s">
        <v>63</v>
      </c>
      <c r="AG55" s="16"/>
      <c r="AH55" s="21" t="s">
        <v>63</v>
      </c>
      <c r="AI55" s="16"/>
      <c r="AJ55" s="19" t="s">
        <v>63</v>
      </c>
      <c r="AK55" s="16"/>
      <c r="AL55" s="19" t="s">
        <v>63</v>
      </c>
      <c r="AM55" s="16"/>
      <c r="AN55" s="19" t="s">
        <v>63</v>
      </c>
      <c r="AO55" s="16"/>
      <c r="AP55" s="19">
        <v>3000</v>
      </c>
      <c r="AQ55" s="16"/>
      <c r="AR55" s="19">
        <v>3000</v>
      </c>
      <c r="AS55" s="16"/>
      <c r="AT55" s="19">
        <f>3000000/1000</f>
        <v>3000</v>
      </c>
      <c r="AU55" s="16"/>
      <c r="AV55" s="19">
        <f>2980.5-355</f>
        <v>2625.5</v>
      </c>
      <c r="AW55" s="17" t="s">
        <v>160</v>
      </c>
      <c r="AX55" s="19">
        <f>2982.3</f>
        <v>2982.3</v>
      </c>
      <c r="AY55" s="17"/>
      <c r="AZ55" s="19">
        <v>2958.144</v>
      </c>
      <c r="BA55" s="16"/>
      <c r="BB55" s="19">
        <f>2958144/1000</f>
        <v>2958.144</v>
      </c>
      <c r="BC55" s="17"/>
      <c r="BD55" s="19">
        <f>508860/1000</f>
        <v>508.86</v>
      </c>
      <c r="BE55" s="17"/>
      <c r="BF55" s="57">
        <f>480000/1000</f>
        <v>480</v>
      </c>
      <c r="BG55" s="57"/>
      <c r="BH55" s="21">
        <v>0</v>
      </c>
      <c r="BI55" s="21"/>
      <c r="BJ55" s="21" t="s">
        <v>63</v>
      </c>
      <c r="BK55" s="21"/>
      <c r="BL55" s="21">
        <v>0</v>
      </c>
      <c r="BM55" s="21"/>
      <c r="BN55" s="21">
        <v>0</v>
      </c>
      <c r="BO55" s="21"/>
      <c r="BP55" s="21">
        <v>0</v>
      </c>
      <c r="BQ55" s="21"/>
      <c r="BR55" s="21">
        <v>0</v>
      </c>
      <c r="BS55" s="21"/>
      <c r="BT55" s="21">
        <v>0</v>
      </c>
      <c r="BU55" s="21"/>
    </row>
    <row r="56" spans="4:73" ht="12" customHeight="1">
      <c r="D56" s="18" t="s">
        <v>80</v>
      </c>
      <c r="E56" s="13"/>
      <c r="F56" s="21" t="s">
        <v>63</v>
      </c>
      <c r="G56" s="16"/>
      <c r="H56" s="21" t="s">
        <v>63</v>
      </c>
      <c r="I56" s="16"/>
      <c r="J56" s="21" t="s">
        <v>63</v>
      </c>
      <c r="K56" s="16"/>
      <c r="L56" s="21" t="s">
        <v>63</v>
      </c>
      <c r="M56" s="16"/>
      <c r="N56" s="21" t="s">
        <v>63</v>
      </c>
      <c r="O56" s="16"/>
      <c r="P56" s="21" t="s">
        <v>63</v>
      </c>
      <c r="Q56" s="16"/>
      <c r="R56" s="21" t="s">
        <v>63</v>
      </c>
      <c r="S56" s="16"/>
      <c r="T56" s="21" t="s">
        <v>63</v>
      </c>
      <c r="U56" s="16"/>
      <c r="V56" s="21" t="s">
        <v>63</v>
      </c>
      <c r="W56" s="16"/>
      <c r="X56" s="21" t="s">
        <v>63</v>
      </c>
      <c r="Y56" s="16"/>
      <c r="Z56" s="21" t="s">
        <v>63</v>
      </c>
      <c r="AA56" s="16"/>
      <c r="AB56" s="21" t="s">
        <v>63</v>
      </c>
      <c r="AC56" s="16"/>
      <c r="AD56" s="19" t="s">
        <v>63</v>
      </c>
      <c r="AE56" s="16"/>
      <c r="AF56" s="21" t="s">
        <v>63</v>
      </c>
      <c r="AG56" s="16"/>
      <c r="AH56" s="21" t="s">
        <v>63</v>
      </c>
      <c r="AI56" s="16"/>
      <c r="AJ56" s="19" t="s">
        <v>63</v>
      </c>
      <c r="AK56" s="16"/>
      <c r="AL56" s="19" t="s">
        <v>63</v>
      </c>
      <c r="AM56" s="16"/>
      <c r="AN56" s="19" t="s">
        <v>63</v>
      </c>
      <c r="AO56" s="16"/>
      <c r="AP56" s="19">
        <v>2000</v>
      </c>
      <c r="AQ56" s="16"/>
      <c r="AR56" s="19">
        <v>12000</v>
      </c>
      <c r="AS56" s="16"/>
      <c r="AT56" s="19">
        <f>12000000/1000</f>
        <v>12000</v>
      </c>
      <c r="AU56" s="16"/>
      <c r="AV56" s="19">
        <f>7922000/1000</f>
        <v>7922</v>
      </c>
      <c r="AW56" s="17" t="s">
        <v>160</v>
      </c>
      <c r="AX56" s="19">
        <v>0</v>
      </c>
      <c r="AY56" s="17"/>
      <c r="AZ56" s="19"/>
      <c r="BA56" s="16"/>
      <c r="BB56" s="19">
        <v>0</v>
      </c>
      <c r="BC56" s="17"/>
      <c r="BD56" s="19">
        <v>0</v>
      </c>
      <c r="BE56" s="17"/>
      <c r="BF56" s="57">
        <v>0</v>
      </c>
      <c r="BG56" s="57"/>
      <c r="BH56" s="21">
        <v>0</v>
      </c>
      <c r="BI56" s="21"/>
      <c r="BJ56" s="21" t="s">
        <v>63</v>
      </c>
      <c r="BK56" s="21"/>
      <c r="BL56" s="21">
        <v>0</v>
      </c>
      <c r="BM56" s="21"/>
      <c r="BN56" s="21">
        <v>0</v>
      </c>
      <c r="BO56" s="21"/>
      <c r="BP56" s="21">
        <v>0</v>
      </c>
      <c r="BQ56" s="21"/>
      <c r="BR56" s="21">
        <v>0</v>
      </c>
      <c r="BS56" s="21"/>
      <c r="BT56" s="21">
        <v>0</v>
      </c>
      <c r="BU56" s="21"/>
    </row>
    <row r="57" spans="4:73" ht="12" customHeight="1">
      <c r="D57" s="18" t="s">
        <v>202</v>
      </c>
      <c r="E57" s="13"/>
      <c r="F57" s="21" t="s">
        <v>63</v>
      </c>
      <c r="G57" s="16"/>
      <c r="H57" s="21" t="s">
        <v>63</v>
      </c>
      <c r="I57" s="16"/>
      <c r="J57" s="21" t="s">
        <v>63</v>
      </c>
      <c r="K57" s="16"/>
      <c r="L57" s="21" t="s">
        <v>63</v>
      </c>
      <c r="M57" s="16"/>
      <c r="N57" s="21" t="s">
        <v>63</v>
      </c>
      <c r="O57" s="16"/>
      <c r="P57" s="21" t="s">
        <v>63</v>
      </c>
      <c r="Q57" s="16"/>
      <c r="R57" s="21" t="s">
        <v>63</v>
      </c>
      <c r="S57" s="16"/>
      <c r="T57" s="21" t="s">
        <v>63</v>
      </c>
      <c r="U57" s="16"/>
      <c r="V57" s="21" t="s">
        <v>63</v>
      </c>
      <c r="W57" s="16"/>
      <c r="X57" s="21" t="s">
        <v>63</v>
      </c>
      <c r="Y57" s="16"/>
      <c r="Z57" s="21" t="s">
        <v>63</v>
      </c>
      <c r="AA57" s="16"/>
      <c r="AB57" s="21" t="s">
        <v>63</v>
      </c>
      <c r="AC57" s="16"/>
      <c r="AD57" s="19" t="s">
        <v>63</v>
      </c>
      <c r="AE57" s="16"/>
      <c r="AF57" s="21" t="s">
        <v>63</v>
      </c>
      <c r="AG57" s="16"/>
      <c r="AH57" s="21" t="s">
        <v>63</v>
      </c>
      <c r="AI57" s="16"/>
      <c r="AJ57" s="19" t="s">
        <v>63</v>
      </c>
      <c r="AK57" s="16"/>
      <c r="AL57" s="19" t="s">
        <v>63</v>
      </c>
      <c r="AM57" s="16"/>
      <c r="AN57" s="19" t="s">
        <v>63</v>
      </c>
      <c r="AO57" s="16"/>
      <c r="AP57" s="19">
        <v>13907</v>
      </c>
      <c r="AQ57" s="16"/>
      <c r="AR57" s="19">
        <v>55000</v>
      </c>
      <c r="AS57" s="16"/>
      <c r="AT57" s="19">
        <f>55000000/1000</f>
        <v>55000</v>
      </c>
      <c r="AU57" s="16"/>
      <c r="AV57" s="19">
        <f>54642500/1000</f>
        <v>54642.5</v>
      </c>
      <c r="AW57" s="17"/>
      <c r="AX57" s="19">
        <f>49705000/1000</f>
        <v>49705</v>
      </c>
      <c r="AY57" s="17"/>
      <c r="AZ57" s="19">
        <v>49600</v>
      </c>
      <c r="BA57" s="16"/>
      <c r="BB57" s="19">
        <f>49600000/1000</f>
        <v>49600</v>
      </c>
      <c r="BC57" s="17"/>
      <c r="BD57" s="19">
        <f>49104000/1000</f>
        <v>49104</v>
      </c>
      <c r="BE57" s="17"/>
      <c r="BF57" s="57">
        <f>49104000/1000</f>
        <v>49104</v>
      </c>
      <c r="BG57" s="57"/>
      <c r="BH57" s="21">
        <f>73493244/1000</f>
        <v>73493.244</v>
      </c>
      <c r="BI57" s="17" t="s">
        <v>160</v>
      </c>
      <c r="BJ57" s="19" t="s">
        <v>63</v>
      </c>
      <c r="BK57" s="17"/>
      <c r="BL57" s="21">
        <f>108493000/1000</f>
        <v>108493</v>
      </c>
      <c r="BM57" s="17"/>
      <c r="BN57" s="21">
        <f>108493000/1000</f>
        <v>108493</v>
      </c>
      <c r="BO57" s="17"/>
      <c r="BP57" s="21">
        <f>85389878/1000</f>
        <v>85389.878</v>
      </c>
      <c r="BQ57" s="17"/>
      <c r="BR57" s="21">
        <f>80238063/1000</f>
        <v>80238.063</v>
      </c>
      <c r="BS57" s="17"/>
      <c r="BT57" s="21">
        <f>76054843/1000</f>
        <v>76054.843</v>
      </c>
      <c r="BU57" s="17"/>
    </row>
    <row r="58" spans="4:73" ht="12" customHeight="1">
      <c r="D58" s="18" t="s">
        <v>124</v>
      </c>
      <c r="E58" s="13"/>
      <c r="F58" s="21" t="s">
        <v>63</v>
      </c>
      <c r="G58" s="16"/>
      <c r="H58" s="21" t="s">
        <v>63</v>
      </c>
      <c r="I58" s="16"/>
      <c r="J58" s="21" t="s">
        <v>63</v>
      </c>
      <c r="K58" s="16"/>
      <c r="L58" s="21" t="s">
        <v>63</v>
      </c>
      <c r="M58" s="16"/>
      <c r="N58" s="21" t="s">
        <v>63</v>
      </c>
      <c r="O58" s="16"/>
      <c r="P58" s="21" t="s">
        <v>63</v>
      </c>
      <c r="Q58" s="16"/>
      <c r="R58" s="21" t="s">
        <v>63</v>
      </c>
      <c r="S58" s="16"/>
      <c r="T58" s="21" t="s">
        <v>63</v>
      </c>
      <c r="U58" s="16"/>
      <c r="V58" s="21" t="s">
        <v>63</v>
      </c>
      <c r="W58" s="16"/>
      <c r="X58" s="21" t="s">
        <v>63</v>
      </c>
      <c r="Y58" s="16"/>
      <c r="Z58" s="21" t="s">
        <v>63</v>
      </c>
      <c r="AA58" s="16"/>
      <c r="AB58" s="21" t="s">
        <v>63</v>
      </c>
      <c r="AC58" s="16"/>
      <c r="AD58" s="21" t="s">
        <v>63</v>
      </c>
      <c r="AE58" s="16"/>
      <c r="AF58" s="21" t="s">
        <v>63</v>
      </c>
      <c r="AG58" s="16"/>
      <c r="AH58" s="21" t="s">
        <v>63</v>
      </c>
      <c r="AI58" s="16"/>
      <c r="AJ58" s="19" t="s">
        <v>63</v>
      </c>
      <c r="AK58" s="16"/>
      <c r="AL58" s="21" t="s">
        <v>63</v>
      </c>
      <c r="AM58" s="16"/>
      <c r="AN58" s="21" t="s">
        <v>63</v>
      </c>
      <c r="AO58" s="16"/>
      <c r="AP58" s="21" t="s">
        <v>63</v>
      </c>
      <c r="AQ58" s="16"/>
      <c r="AR58" s="21" t="s">
        <v>63</v>
      </c>
      <c r="AS58" s="16"/>
      <c r="AT58" s="21" t="s">
        <v>63</v>
      </c>
      <c r="AU58" s="16"/>
      <c r="AV58" s="21" t="s">
        <v>63</v>
      </c>
      <c r="AW58" s="17"/>
      <c r="AX58" s="21" t="s">
        <v>63</v>
      </c>
      <c r="AY58" s="17"/>
      <c r="AZ58" s="19">
        <v>19840</v>
      </c>
      <c r="BA58" s="16"/>
      <c r="BB58" s="21">
        <f>19840000/1000</f>
        <v>19840</v>
      </c>
      <c r="BC58" s="17"/>
      <c r="BD58" s="21">
        <f>19641600/1000</f>
        <v>19641.6</v>
      </c>
      <c r="BE58" s="17"/>
      <c r="BF58" s="57">
        <f>19642000/1000</f>
        <v>19642</v>
      </c>
      <c r="BG58" s="57"/>
      <c r="BH58" s="21">
        <v>0</v>
      </c>
      <c r="BI58" s="17" t="s">
        <v>160</v>
      </c>
      <c r="BJ58" s="19" t="s">
        <v>63</v>
      </c>
      <c r="BK58" s="17"/>
      <c r="BL58" s="21">
        <v>0</v>
      </c>
      <c r="BM58" s="17"/>
      <c r="BN58" s="21">
        <v>0</v>
      </c>
      <c r="BO58" s="17"/>
      <c r="BP58" s="21">
        <v>0</v>
      </c>
      <c r="BQ58" s="17"/>
      <c r="BR58" s="21">
        <v>0</v>
      </c>
      <c r="BS58" s="17"/>
      <c r="BT58" s="21">
        <v>0</v>
      </c>
      <c r="BU58" s="17"/>
    </row>
    <row r="59" spans="4:73" ht="12" customHeight="1">
      <c r="D59" s="18" t="s">
        <v>114</v>
      </c>
      <c r="E59" s="13"/>
      <c r="F59" s="21" t="s">
        <v>63</v>
      </c>
      <c r="G59" s="16"/>
      <c r="H59" s="21" t="s">
        <v>63</v>
      </c>
      <c r="I59" s="16"/>
      <c r="J59" s="21" t="s">
        <v>63</v>
      </c>
      <c r="K59" s="16"/>
      <c r="L59" s="21" t="s">
        <v>63</v>
      </c>
      <c r="M59" s="16"/>
      <c r="N59" s="21" t="s">
        <v>63</v>
      </c>
      <c r="O59" s="16"/>
      <c r="P59" s="21" t="s">
        <v>63</v>
      </c>
      <c r="Q59" s="16"/>
      <c r="R59" s="21" t="s">
        <v>63</v>
      </c>
      <c r="S59" s="16"/>
      <c r="T59" s="21" t="s">
        <v>63</v>
      </c>
      <c r="U59" s="16"/>
      <c r="V59" s="21" t="s">
        <v>63</v>
      </c>
      <c r="W59" s="16"/>
      <c r="X59" s="21" t="s">
        <v>63</v>
      </c>
      <c r="Y59" s="16"/>
      <c r="Z59" s="21" t="s">
        <v>63</v>
      </c>
      <c r="AA59" s="16"/>
      <c r="AB59" s="21" t="s">
        <v>63</v>
      </c>
      <c r="AC59" s="16"/>
      <c r="AD59" s="19" t="s">
        <v>63</v>
      </c>
      <c r="AE59" s="16"/>
      <c r="AF59" s="21" t="s">
        <v>63</v>
      </c>
      <c r="AG59" s="16"/>
      <c r="AH59" s="21" t="s">
        <v>63</v>
      </c>
      <c r="AI59" s="16"/>
      <c r="AJ59" s="19" t="s">
        <v>63</v>
      </c>
      <c r="AK59" s="16"/>
      <c r="AL59" s="19"/>
      <c r="AM59" s="16"/>
      <c r="AN59" s="21" t="s">
        <v>63</v>
      </c>
      <c r="AO59" s="16"/>
      <c r="AP59" s="21">
        <f>75595136/1000</f>
        <v>75595.136</v>
      </c>
      <c r="AQ59" s="16" t="s">
        <v>158</v>
      </c>
      <c r="AR59" s="19">
        <f>127614300/1000</f>
        <v>127614.3</v>
      </c>
      <c r="AS59" s="16"/>
      <c r="AT59" s="19">
        <f>90733225/1000</f>
        <v>90733.225</v>
      </c>
      <c r="AU59" s="16"/>
      <c r="AV59" s="19">
        <f>97131650/1000</f>
        <v>97131.65</v>
      </c>
      <c r="AW59" s="17"/>
      <c r="AX59" s="19">
        <f>845451.75/1000</f>
        <v>845.45175</v>
      </c>
      <c r="AY59" s="17"/>
      <c r="AZ59" s="19"/>
      <c r="BA59" s="16"/>
      <c r="BB59" s="19">
        <f>104595824/1000</f>
        <v>104595.824</v>
      </c>
      <c r="BC59" s="17"/>
      <c r="BD59" s="19">
        <f>134653275.04/1000</f>
        <v>134653.27503999998</v>
      </c>
      <c r="BE59" s="17"/>
      <c r="BF59" s="57">
        <f>134199187.61/1000</f>
        <v>134199.18761</v>
      </c>
      <c r="BG59" s="17"/>
      <c r="BH59" s="21">
        <f>130537483.33/1000</f>
        <v>130537.48333</v>
      </c>
      <c r="BI59" s="17"/>
      <c r="BJ59" s="19" t="s">
        <v>63</v>
      </c>
      <c r="BK59" s="17"/>
      <c r="BL59" s="21">
        <f>110820955.11/1000</f>
        <v>110820.95511</v>
      </c>
      <c r="BM59" s="17"/>
      <c r="BN59" s="21">
        <f>114026359/1000</f>
        <v>114026.359</v>
      </c>
      <c r="BO59" s="17"/>
      <c r="BP59" s="21">
        <f>130975268/1000</f>
        <v>130975.268</v>
      </c>
      <c r="BQ59" s="17"/>
      <c r="BR59" s="21">
        <f>161232759/1000</f>
        <v>161232.759</v>
      </c>
      <c r="BS59" s="17"/>
      <c r="BT59" s="21">
        <f>151175933/1000</f>
        <v>151175.933</v>
      </c>
      <c r="BU59" s="17"/>
    </row>
    <row r="60" spans="4:73" ht="12" customHeight="1">
      <c r="D60" s="18" t="s">
        <v>81</v>
      </c>
      <c r="E60" s="13"/>
      <c r="F60" s="21" t="s">
        <v>63</v>
      </c>
      <c r="G60" s="16"/>
      <c r="H60" s="21" t="s">
        <v>63</v>
      </c>
      <c r="I60" s="16"/>
      <c r="J60" s="21" t="s">
        <v>63</v>
      </c>
      <c r="K60" s="16"/>
      <c r="L60" s="21" t="s">
        <v>63</v>
      </c>
      <c r="M60" s="16"/>
      <c r="N60" s="21" t="s">
        <v>63</v>
      </c>
      <c r="O60" s="16"/>
      <c r="P60" s="21" t="s">
        <v>63</v>
      </c>
      <c r="Q60" s="16"/>
      <c r="R60" s="21" t="s">
        <v>63</v>
      </c>
      <c r="S60" s="16"/>
      <c r="T60" s="21" t="s">
        <v>63</v>
      </c>
      <c r="U60" s="16"/>
      <c r="V60" s="21" t="s">
        <v>63</v>
      </c>
      <c r="W60" s="16"/>
      <c r="X60" s="21" t="s">
        <v>63</v>
      </c>
      <c r="Y60" s="16"/>
      <c r="Z60" s="21" t="s">
        <v>63</v>
      </c>
      <c r="AA60" s="16"/>
      <c r="AB60" s="21" t="s">
        <v>63</v>
      </c>
      <c r="AC60" s="16"/>
      <c r="AD60" s="19" t="s">
        <v>63</v>
      </c>
      <c r="AE60" s="16"/>
      <c r="AF60" s="21" t="s">
        <v>63</v>
      </c>
      <c r="AG60" s="16"/>
      <c r="AH60" s="21" t="s">
        <v>63</v>
      </c>
      <c r="AI60" s="16"/>
      <c r="AJ60" s="19" t="s">
        <v>63</v>
      </c>
      <c r="AK60" s="16"/>
      <c r="AL60" s="19" t="s">
        <v>63</v>
      </c>
      <c r="AM60" s="16"/>
      <c r="AN60" s="19" t="s">
        <v>63</v>
      </c>
      <c r="AO60" s="16"/>
      <c r="AP60" s="19" t="s">
        <v>63</v>
      </c>
      <c r="AQ60" s="16"/>
      <c r="AR60" s="19">
        <v>0</v>
      </c>
      <c r="AS60" s="16" t="s">
        <v>159</v>
      </c>
      <c r="AT60" s="21" t="s">
        <v>63</v>
      </c>
      <c r="AU60" s="16"/>
      <c r="AV60" s="21" t="s">
        <v>63</v>
      </c>
      <c r="AW60" s="17"/>
      <c r="AX60" s="21" t="s">
        <v>63</v>
      </c>
      <c r="AY60" s="17"/>
      <c r="AZ60" s="19"/>
      <c r="BA60" s="16"/>
      <c r="BB60" s="21" t="s">
        <v>63</v>
      </c>
      <c r="BC60" s="17"/>
      <c r="BD60" s="21" t="s">
        <v>63</v>
      </c>
      <c r="BE60" s="17"/>
      <c r="BF60" s="21" t="s">
        <v>63</v>
      </c>
      <c r="BG60" s="57"/>
      <c r="BH60" s="21" t="s">
        <v>63</v>
      </c>
      <c r="BI60" s="21"/>
      <c r="BJ60" s="21" t="s">
        <v>63</v>
      </c>
      <c r="BK60" s="21"/>
      <c r="BL60" s="21" t="s">
        <v>63</v>
      </c>
      <c r="BM60" s="21"/>
      <c r="BN60" s="21" t="s">
        <v>63</v>
      </c>
      <c r="BO60" s="21"/>
      <c r="BP60" s="21" t="s">
        <v>63</v>
      </c>
      <c r="BQ60" s="21"/>
      <c r="BR60" s="21" t="s">
        <v>63</v>
      </c>
      <c r="BS60" s="21"/>
      <c r="BT60" s="21" t="s">
        <v>63</v>
      </c>
      <c r="BU60" s="21"/>
    </row>
    <row r="61" spans="4:73" ht="12" customHeight="1">
      <c r="D61" s="18" t="s">
        <v>82</v>
      </c>
      <c r="E61" s="13"/>
      <c r="F61" s="21" t="s">
        <v>63</v>
      </c>
      <c r="G61" s="16"/>
      <c r="H61" s="21" t="s">
        <v>63</v>
      </c>
      <c r="I61" s="16"/>
      <c r="J61" s="21" t="s">
        <v>63</v>
      </c>
      <c r="K61" s="16"/>
      <c r="L61" s="21" t="s">
        <v>63</v>
      </c>
      <c r="M61" s="16"/>
      <c r="N61" s="21" t="s">
        <v>63</v>
      </c>
      <c r="O61" s="16"/>
      <c r="P61" s="21" t="s">
        <v>63</v>
      </c>
      <c r="Q61" s="16"/>
      <c r="R61" s="21" t="s">
        <v>63</v>
      </c>
      <c r="S61" s="16"/>
      <c r="T61" s="21" t="s">
        <v>63</v>
      </c>
      <c r="U61" s="16"/>
      <c r="V61" s="21" t="s">
        <v>63</v>
      </c>
      <c r="W61" s="16"/>
      <c r="X61" s="21" t="s">
        <v>63</v>
      </c>
      <c r="Y61" s="16"/>
      <c r="Z61" s="21" t="s">
        <v>63</v>
      </c>
      <c r="AA61" s="16"/>
      <c r="AB61" s="21" t="s">
        <v>63</v>
      </c>
      <c r="AC61" s="16"/>
      <c r="AD61" s="19" t="s">
        <v>63</v>
      </c>
      <c r="AE61" s="16"/>
      <c r="AF61" s="21" t="s">
        <v>63</v>
      </c>
      <c r="AG61" s="16"/>
      <c r="AH61" s="21" t="s">
        <v>63</v>
      </c>
      <c r="AI61" s="16"/>
      <c r="AJ61" s="19" t="s">
        <v>63</v>
      </c>
      <c r="AK61" s="16"/>
      <c r="AL61" s="19" t="s">
        <v>63</v>
      </c>
      <c r="AM61" s="16"/>
      <c r="AN61" s="19" t="s">
        <v>63</v>
      </c>
      <c r="AO61" s="16"/>
      <c r="AP61" s="19" t="s">
        <v>63</v>
      </c>
      <c r="AQ61" s="16"/>
      <c r="AR61" s="19">
        <v>0</v>
      </c>
      <c r="AS61" s="16" t="s">
        <v>159</v>
      </c>
      <c r="AT61" s="21" t="s">
        <v>63</v>
      </c>
      <c r="AU61" s="16"/>
      <c r="AV61" s="21" t="s">
        <v>63</v>
      </c>
      <c r="AW61" s="17"/>
      <c r="AX61" s="21" t="s">
        <v>63</v>
      </c>
      <c r="AY61" s="17"/>
      <c r="AZ61" s="19"/>
      <c r="BA61" s="16"/>
      <c r="BB61" s="21" t="s">
        <v>63</v>
      </c>
      <c r="BC61" s="17"/>
      <c r="BD61" s="21" t="s">
        <v>63</v>
      </c>
      <c r="BE61" s="17"/>
      <c r="BF61" s="21" t="s">
        <v>63</v>
      </c>
      <c r="BG61" s="57"/>
      <c r="BH61" s="21" t="s">
        <v>63</v>
      </c>
      <c r="BI61" s="21"/>
      <c r="BJ61" s="21" t="s">
        <v>63</v>
      </c>
      <c r="BK61" s="21"/>
      <c r="BL61" s="21" t="s">
        <v>63</v>
      </c>
      <c r="BM61" s="21"/>
      <c r="BN61" s="21" t="s">
        <v>63</v>
      </c>
      <c r="BO61" s="21"/>
      <c r="BP61" s="21" t="s">
        <v>63</v>
      </c>
      <c r="BQ61" s="21"/>
      <c r="BR61" s="21" t="s">
        <v>63</v>
      </c>
      <c r="BS61" s="21"/>
      <c r="BT61" s="21" t="s">
        <v>63</v>
      </c>
      <c r="BU61" s="21"/>
    </row>
    <row r="62" spans="4:73" ht="12" customHeight="1">
      <c r="D62" s="18" t="s">
        <v>20</v>
      </c>
      <c r="E62" s="13"/>
      <c r="F62" s="16">
        <v>2250</v>
      </c>
      <c r="G62" s="16"/>
      <c r="H62" s="16">
        <v>3000</v>
      </c>
      <c r="I62" s="16"/>
      <c r="J62" s="16">
        <f aca="true" t="shared" si="0" ref="J62:J73">F62+H62</f>
        <v>5250</v>
      </c>
      <c r="K62" s="16"/>
      <c r="L62" s="16">
        <v>3000</v>
      </c>
      <c r="M62" s="16"/>
      <c r="N62" s="16">
        <v>2871</v>
      </c>
      <c r="O62" s="16"/>
      <c r="P62" s="16">
        <v>4000</v>
      </c>
      <c r="Q62" s="16"/>
      <c r="R62" s="16">
        <v>3830</v>
      </c>
      <c r="S62" s="16"/>
      <c r="T62" s="16">
        <v>3952</v>
      </c>
      <c r="U62" s="16"/>
      <c r="V62" s="16">
        <v>4044</v>
      </c>
      <c r="W62" s="16"/>
      <c r="X62" s="16">
        <v>4147</v>
      </c>
      <c r="Y62" s="16"/>
      <c r="Z62" s="16">
        <v>5400</v>
      </c>
      <c r="AA62" s="16"/>
      <c r="AB62" s="16">
        <v>5357</v>
      </c>
      <c r="AC62" s="16"/>
      <c r="AD62" s="16">
        <v>5579</v>
      </c>
      <c r="AE62" s="16"/>
      <c r="AF62" s="16">
        <v>5500</v>
      </c>
      <c r="AG62" s="16"/>
      <c r="AH62" s="16">
        <v>8000</v>
      </c>
      <c r="AI62" s="16"/>
      <c r="AJ62" s="16">
        <v>8000</v>
      </c>
      <c r="AK62" s="16"/>
      <c r="AL62" s="16">
        <v>9000</v>
      </c>
      <c r="AM62" s="16"/>
      <c r="AN62" s="16">
        <v>9000</v>
      </c>
      <c r="AO62" s="16"/>
      <c r="AP62" s="21" t="s">
        <v>63</v>
      </c>
      <c r="AQ62" s="16"/>
      <c r="AR62" s="21" t="s">
        <v>63</v>
      </c>
      <c r="AS62" s="16"/>
      <c r="AT62" s="21" t="s">
        <v>63</v>
      </c>
      <c r="AU62" s="16"/>
      <c r="AV62" s="21" t="s">
        <v>63</v>
      </c>
      <c r="AW62" s="17"/>
      <c r="AX62" s="21" t="s">
        <v>63</v>
      </c>
      <c r="AY62" s="17"/>
      <c r="AZ62" s="16"/>
      <c r="BA62" s="16"/>
      <c r="BB62" s="21" t="s">
        <v>63</v>
      </c>
      <c r="BC62" s="17"/>
      <c r="BD62" s="21" t="s">
        <v>63</v>
      </c>
      <c r="BE62" s="17"/>
      <c r="BF62" s="21" t="s">
        <v>63</v>
      </c>
      <c r="BG62" s="57"/>
      <c r="BH62" s="21" t="s">
        <v>63</v>
      </c>
      <c r="BI62" s="21"/>
      <c r="BJ62" s="21" t="s">
        <v>63</v>
      </c>
      <c r="BK62" s="21"/>
      <c r="BL62" s="21" t="s">
        <v>63</v>
      </c>
      <c r="BM62" s="21"/>
      <c r="BN62" s="21" t="s">
        <v>63</v>
      </c>
      <c r="BO62" s="21"/>
      <c r="BP62" s="21" t="s">
        <v>63</v>
      </c>
      <c r="BQ62" s="21"/>
      <c r="BR62" s="21" t="s">
        <v>63</v>
      </c>
      <c r="BS62" s="21"/>
      <c r="BT62" s="21" t="s">
        <v>63</v>
      </c>
      <c r="BU62" s="21"/>
    </row>
    <row r="63" spans="4:73" ht="12.75">
      <c r="D63" s="18" t="s">
        <v>21</v>
      </c>
      <c r="E63" s="13"/>
      <c r="F63" s="16">
        <v>4425</v>
      </c>
      <c r="G63" s="16"/>
      <c r="H63" s="16">
        <v>5900</v>
      </c>
      <c r="I63" s="16"/>
      <c r="J63" s="16">
        <f t="shared" si="0"/>
        <v>10325</v>
      </c>
      <c r="K63" s="16"/>
      <c r="L63" s="16">
        <v>5900</v>
      </c>
      <c r="M63" s="16"/>
      <c r="N63" s="16">
        <v>5646</v>
      </c>
      <c r="O63" s="16"/>
      <c r="P63" s="16">
        <v>5900</v>
      </c>
      <c r="Q63" s="16"/>
      <c r="R63" s="16">
        <v>5648</v>
      </c>
      <c r="S63" s="16"/>
      <c r="T63" s="16">
        <v>5692</v>
      </c>
      <c r="U63" s="16"/>
      <c r="V63" s="16">
        <v>5615</v>
      </c>
      <c r="W63" s="16"/>
      <c r="X63" s="16">
        <v>5260</v>
      </c>
      <c r="Y63" s="16"/>
      <c r="Z63" s="16">
        <v>4760</v>
      </c>
      <c r="AA63" s="16"/>
      <c r="AB63" s="16">
        <v>3166</v>
      </c>
      <c r="AC63" s="17" t="s">
        <v>158</v>
      </c>
      <c r="AD63" s="16">
        <v>3404</v>
      </c>
      <c r="AE63" s="16"/>
      <c r="AF63" s="21" t="s">
        <v>63</v>
      </c>
      <c r="AG63" s="16"/>
      <c r="AH63" s="21" t="s">
        <v>63</v>
      </c>
      <c r="AI63" s="16"/>
      <c r="AJ63" s="21" t="s">
        <v>63</v>
      </c>
      <c r="AK63" s="16"/>
      <c r="AL63" s="21" t="s">
        <v>63</v>
      </c>
      <c r="AM63" s="16"/>
      <c r="AN63" s="19" t="s">
        <v>63</v>
      </c>
      <c r="AO63" s="16"/>
      <c r="AP63" s="21" t="s">
        <v>63</v>
      </c>
      <c r="AQ63" s="16"/>
      <c r="AR63" s="21" t="s">
        <v>63</v>
      </c>
      <c r="AS63" s="16"/>
      <c r="AT63" s="21" t="s">
        <v>63</v>
      </c>
      <c r="AU63" s="16"/>
      <c r="AV63" s="21" t="s">
        <v>63</v>
      </c>
      <c r="AW63" s="17"/>
      <c r="AX63" s="21" t="s">
        <v>63</v>
      </c>
      <c r="AY63" s="17"/>
      <c r="AZ63" s="16"/>
      <c r="BA63" s="16"/>
      <c r="BB63" s="21" t="s">
        <v>63</v>
      </c>
      <c r="BC63" s="17"/>
      <c r="BD63" s="21" t="s">
        <v>63</v>
      </c>
      <c r="BE63" s="17"/>
      <c r="BF63" s="21" t="s">
        <v>63</v>
      </c>
      <c r="BG63" s="57"/>
      <c r="BH63" s="21" t="s">
        <v>63</v>
      </c>
      <c r="BI63" s="21"/>
      <c r="BJ63" s="21" t="s">
        <v>63</v>
      </c>
      <c r="BK63" s="21"/>
      <c r="BL63" s="21" t="s">
        <v>63</v>
      </c>
      <c r="BM63" s="21"/>
      <c r="BN63" s="21" t="s">
        <v>63</v>
      </c>
      <c r="BO63" s="21"/>
      <c r="BP63" s="21" t="s">
        <v>63</v>
      </c>
      <c r="BQ63" s="21"/>
      <c r="BR63" s="21" t="s">
        <v>63</v>
      </c>
      <c r="BS63" s="21"/>
      <c r="BT63" s="21" t="s">
        <v>63</v>
      </c>
      <c r="BU63" s="21"/>
    </row>
    <row r="64" spans="4:73" ht="12.75">
      <c r="D64" s="18" t="s">
        <v>22</v>
      </c>
      <c r="E64" s="13"/>
      <c r="F64" s="16">
        <v>1500</v>
      </c>
      <c r="G64" s="16"/>
      <c r="H64" s="16">
        <v>2000</v>
      </c>
      <c r="I64" s="16"/>
      <c r="J64" s="16">
        <f t="shared" si="0"/>
        <v>3500</v>
      </c>
      <c r="K64" s="16"/>
      <c r="L64" s="16">
        <v>2000</v>
      </c>
      <c r="M64" s="16"/>
      <c r="N64" s="16">
        <v>1914</v>
      </c>
      <c r="O64" s="16"/>
      <c r="P64" s="16">
        <v>2000</v>
      </c>
      <c r="Q64" s="16"/>
      <c r="R64" s="16">
        <v>1915</v>
      </c>
      <c r="S64" s="16"/>
      <c r="T64" s="16">
        <v>1976</v>
      </c>
      <c r="U64" s="16"/>
      <c r="V64" s="16">
        <v>1973</v>
      </c>
      <c r="W64" s="16"/>
      <c r="X64" s="16">
        <v>1848</v>
      </c>
      <c r="Y64" s="16"/>
      <c r="Z64" s="16">
        <v>1848</v>
      </c>
      <c r="AA64" s="16"/>
      <c r="AB64" s="16">
        <v>1473</v>
      </c>
      <c r="AC64" s="16"/>
      <c r="AD64" s="16">
        <v>1473</v>
      </c>
      <c r="AE64" s="16"/>
      <c r="AF64" s="21" t="s">
        <v>63</v>
      </c>
      <c r="AG64" s="16"/>
      <c r="AH64" s="21" t="s">
        <v>63</v>
      </c>
      <c r="AI64" s="16"/>
      <c r="AJ64" s="21" t="s">
        <v>63</v>
      </c>
      <c r="AK64" s="16"/>
      <c r="AL64" s="21" t="s">
        <v>63</v>
      </c>
      <c r="AM64" s="16"/>
      <c r="AN64" s="19" t="s">
        <v>63</v>
      </c>
      <c r="AO64" s="16"/>
      <c r="AP64" s="21" t="s">
        <v>63</v>
      </c>
      <c r="AQ64" s="16"/>
      <c r="AR64" s="21" t="s">
        <v>63</v>
      </c>
      <c r="AS64" s="16"/>
      <c r="AT64" s="21" t="s">
        <v>63</v>
      </c>
      <c r="AU64" s="16"/>
      <c r="AV64" s="21" t="s">
        <v>63</v>
      </c>
      <c r="AW64" s="17"/>
      <c r="AX64" s="21" t="s">
        <v>63</v>
      </c>
      <c r="AY64" s="17"/>
      <c r="AZ64" s="16"/>
      <c r="BA64" s="16"/>
      <c r="BB64" s="21" t="s">
        <v>63</v>
      </c>
      <c r="BC64" s="17"/>
      <c r="BD64" s="21" t="s">
        <v>63</v>
      </c>
      <c r="BE64" s="17"/>
      <c r="BF64" s="21" t="s">
        <v>63</v>
      </c>
      <c r="BG64" s="57"/>
      <c r="BH64" s="21" t="s">
        <v>63</v>
      </c>
      <c r="BI64" s="21"/>
      <c r="BJ64" s="21" t="s">
        <v>63</v>
      </c>
      <c r="BK64" s="21"/>
      <c r="BL64" s="21" t="s">
        <v>63</v>
      </c>
      <c r="BM64" s="21"/>
      <c r="BN64" s="21" t="s">
        <v>63</v>
      </c>
      <c r="BO64" s="21"/>
      <c r="BP64" s="21" t="s">
        <v>63</v>
      </c>
      <c r="BQ64" s="21"/>
      <c r="BR64" s="21" t="s">
        <v>63</v>
      </c>
      <c r="BS64" s="21"/>
      <c r="BT64" s="21" t="s">
        <v>63</v>
      </c>
      <c r="BU64" s="21"/>
    </row>
    <row r="65" spans="4:73" ht="12.75">
      <c r="D65" s="18" t="s">
        <v>23</v>
      </c>
      <c r="E65" s="13"/>
      <c r="F65" s="16">
        <v>7500</v>
      </c>
      <c r="G65" s="16"/>
      <c r="H65" s="16">
        <v>10000</v>
      </c>
      <c r="I65" s="16"/>
      <c r="J65" s="16">
        <f t="shared" si="0"/>
        <v>17500</v>
      </c>
      <c r="K65" s="16"/>
      <c r="L65" s="16">
        <v>10000</v>
      </c>
      <c r="M65" s="16"/>
      <c r="N65" s="16">
        <v>9570</v>
      </c>
      <c r="O65" s="16"/>
      <c r="P65" s="16">
        <v>10000</v>
      </c>
      <c r="Q65" s="16"/>
      <c r="R65" s="16">
        <v>7659</v>
      </c>
      <c r="S65" s="16"/>
      <c r="T65" s="16">
        <v>5928</v>
      </c>
      <c r="U65" s="16"/>
      <c r="V65" s="16">
        <v>5080</v>
      </c>
      <c r="W65" s="16"/>
      <c r="X65" s="16">
        <v>3904</v>
      </c>
      <c r="Y65" s="16"/>
      <c r="Z65" s="16">
        <v>3900</v>
      </c>
      <c r="AA65" s="16"/>
      <c r="AB65" s="16">
        <v>3831</v>
      </c>
      <c r="AC65" s="16"/>
      <c r="AD65" s="16">
        <v>3861</v>
      </c>
      <c r="AE65" s="16"/>
      <c r="AF65" s="21" t="s">
        <v>63</v>
      </c>
      <c r="AG65" s="16"/>
      <c r="AH65" s="21" t="s">
        <v>63</v>
      </c>
      <c r="AI65" s="16"/>
      <c r="AJ65" s="21" t="s">
        <v>63</v>
      </c>
      <c r="AK65" s="16"/>
      <c r="AL65" s="21" t="s">
        <v>63</v>
      </c>
      <c r="AM65" s="16"/>
      <c r="AN65" s="19" t="s">
        <v>63</v>
      </c>
      <c r="AO65" s="16"/>
      <c r="AP65" s="21" t="s">
        <v>63</v>
      </c>
      <c r="AQ65" s="16"/>
      <c r="AR65" s="21" t="s">
        <v>63</v>
      </c>
      <c r="AS65" s="16"/>
      <c r="AT65" s="21" t="s">
        <v>63</v>
      </c>
      <c r="AU65" s="16"/>
      <c r="AV65" s="21" t="s">
        <v>63</v>
      </c>
      <c r="AW65" s="17"/>
      <c r="AX65" s="21" t="s">
        <v>63</v>
      </c>
      <c r="AY65" s="17"/>
      <c r="AZ65" s="16"/>
      <c r="BA65" s="16"/>
      <c r="BB65" s="21" t="s">
        <v>63</v>
      </c>
      <c r="BC65" s="17"/>
      <c r="BD65" s="21" t="s">
        <v>63</v>
      </c>
      <c r="BE65" s="17"/>
      <c r="BF65" s="21" t="s">
        <v>63</v>
      </c>
      <c r="BG65" s="57"/>
      <c r="BH65" s="21" t="s">
        <v>63</v>
      </c>
      <c r="BI65" s="21"/>
      <c r="BJ65" s="21" t="s">
        <v>63</v>
      </c>
      <c r="BK65" s="21"/>
      <c r="BL65" s="21" t="s">
        <v>63</v>
      </c>
      <c r="BM65" s="21"/>
      <c r="BN65" s="21" t="s">
        <v>63</v>
      </c>
      <c r="BO65" s="21"/>
      <c r="BP65" s="21" t="s">
        <v>63</v>
      </c>
      <c r="BQ65" s="21"/>
      <c r="BR65" s="21" t="s">
        <v>63</v>
      </c>
      <c r="BS65" s="21"/>
      <c r="BT65" s="21" t="s">
        <v>63</v>
      </c>
      <c r="BU65" s="21"/>
    </row>
    <row r="66" spans="4:73" ht="12.75">
      <c r="D66" s="18" t="s">
        <v>24</v>
      </c>
      <c r="E66" s="13"/>
      <c r="F66" s="21" t="s">
        <v>63</v>
      </c>
      <c r="G66" s="16"/>
      <c r="H66" s="21" t="s">
        <v>63</v>
      </c>
      <c r="I66" s="16"/>
      <c r="J66" s="21" t="s">
        <v>63</v>
      </c>
      <c r="K66" s="16"/>
      <c r="L66" s="21" t="s">
        <v>63</v>
      </c>
      <c r="M66" s="16"/>
      <c r="N66" s="21" t="s">
        <v>63</v>
      </c>
      <c r="O66" s="16"/>
      <c r="P66" s="21" t="s">
        <v>63</v>
      </c>
      <c r="Q66" s="16"/>
      <c r="R66" s="16">
        <v>957</v>
      </c>
      <c r="S66" s="16"/>
      <c r="T66" s="16">
        <v>2470</v>
      </c>
      <c r="U66" s="16"/>
      <c r="V66" s="16">
        <v>2959</v>
      </c>
      <c r="W66" s="16"/>
      <c r="X66" s="16">
        <v>3416</v>
      </c>
      <c r="Y66" s="16"/>
      <c r="Z66" s="16">
        <v>4000</v>
      </c>
      <c r="AA66" s="16"/>
      <c r="AB66" s="16">
        <v>3968</v>
      </c>
      <c r="AC66" s="16"/>
      <c r="AD66" s="16">
        <v>4234</v>
      </c>
      <c r="AE66" s="16"/>
      <c r="AF66" s="21" t="s">
        <v>63</v>
      </c>
      <c r="AG66" s="16"/>
      <c r="AH66" s="21" t="s">
        <v>63</v>
      </c>
      <c r="AI66" s="16"/>
      <c r="AJ66" s="21" t="s">
        <v>63</v>
      </c>
      <c r="AK66" s="16"/>
      <c r="AL66" s="21" t="s">
        <v>63</v>
      </c>
      <c r="AM66" s="16"/>
      <c r="AN66" s="19" t="s">
        <v>63</v>
      </c>
      <c r="AO66" s="16"/>
      <c r="AP66" s="21" t="s">
        <v>63</v>
      </c>
      <c r="AQ66" s="16"/>
      <c r="AR66" s="21" t="s">
        <v>63</v>
      </c>
      <c r="AS66" s="16"/>
      <c r="AT66" s="21" t="s">
        <v>63</v>
      </c>
      <c r="AU66" s="16"/>
      <c r="AV66" s="21" t="s">
        <v>63</v>
      </c>
      <c r="AW66" s="17"/>
      <c r="AX66" s="21" t="s">
        <v>63</v>
      </c>
      <c r="AY66" s="17"/>
      <c r="AZ66" s="16"/>
      <c r="BA66" s="16"/>
      <c r="BB66" s="21" t="s">
        <v>63</v>
      </c>
      <c r="BC66" s="17"/>
      <c r="BD66" s="21" t="s">
        <v>63</v>
      </c>
      <c r="BE66" s="17"/>
      <c r="BF66" s="21" t="s">
        <v>63</v>
      </c>
      <c r="BG66" s="57"/>
      <c r="BH66" s="21" t="s">
        <v>63</v>
      </c>
      <c r="BI66" s="21"/>
      <c r="BJ66" s="21" t="s">
        <v>63</v>
      </c>
      <c r="BK66" s="21"/>
      <c r="BL66" s="21" t="s">
        <v>63</v>
      </c>
      <c r="BM66" s="21"/>
      <c r="BN66" s="21" t="s">
        <v>63</v>
      </c>
      <c r="BO66" s="21"/>
      <c r="BP66" s="21" t="s">
        <v>63</v>
      </c>
      <c r="BQ66" s="21"/>
      <c r="BR66" s="21" t="s">
        <v>63</v>
      </c>
      <c r="BS66" s="21"/>
      <c r="BT66" s="21" t="s">
        <v>63</v>
      </c>
      <c r="BU66" s="21"/>
    </row>
    <row r="67" spans="4:73" ht="12.75">
      <c r="D67" s="18" t="s">
        <v>25</v>
      </c>
      <c r="E67" s="13"/>
      <c r="F67" s="21" t="s">
        <v>63</v>
      </c>
      <c r="G67" s="16"/>
      <c r="H67" s="21" t="s">
        <v>63</v>
      </c>
      <c r="I67" s="16"/>
      <c r="J67" s="21" t="s">
        <v>63</v>
      </c>
      <c r="K67" s="16"/>
      <c r="L67" s="21" t="s">
        <v>63</v>
      </c>
      <c r="M67" s="16"/>
      <c r="N67" s="21" t="s">
        <v>63</v>
      </c>
      <c r="O67" s="16"/>
      <c r="P67" s="21" t="s">
        <v>63</v>
      </c>
      <c r="Q67" s="16"/>
      <c r="R67" s="21" t="s">
        <v>63</v>
      </c>
      <c r="S67" s="16"/>
      <c r="T67" s="21" t="s">
        <v>63</v>
      </c>
      <c r="U67" s="16"/>
      <c r="V67" s="21" t="s">
        <v>63</v>
      </c>
      <c r="W67" s="16"/>
      <c r="X67" s="21" t="s">
        <v>63</v>
      </c>
      <c r="Y67" s="16"/>
      <c r="Z67" s="21" t="s">
        <v>63</v>
      </c>
      <c r="AA67" s="16"/>
      <c r="AB67" s="16">
        <v>50000</v>
      </c>
      <c r="AC67" s="17" t="s">
        <v>158</v>
      </c>
      <c r="AD67" s="16">
        <v>25000</v>
      </c>
      <c r="AE67" s="16"/>
      <c r="AF67" s="21" t="s">
        <v>63</v>
      </c>
      <c r="AG67" s="16"/>
      <c r="AH67" s="21" t="s">
        <v>63</v>
      </c>
      <c r="AI67" s="16"/>
      <c r="AJ67" s="21" t="s">
        <v>63</v>
      </c>
      <c r="AK67" s="16"/>
      <c r="AL67" s="21" t="s">
        <v>63</v>
      </c>
      <c r="AM67" s="16"/>
      <c r="AN67" s="19" t="s">
        <v>63</v>
      </c>
      <c r="AO67" s="16"/>
      <c r="AP67" s="21" t="s">
        <v>63</v>
      </c>
      <c r="AQ67" s="16"/>
      <c r="AR67" s="21" t="s">
        <v>63</v>
      </c>
      <c r="AS67" s="16"/>
      <c r="AT67" s="21" t="s">
        <v>63</v>
      </c>
      <c r="AU67" s="16"/>
      <c r="AV67" s="21" t="s">
        <v>63</v>
      </c>
      <c r="AW67" s="17"/>
      <c r="AX67" s="21" t="s">
        <v>63</v>
      </c>
      <c r="AY67" s="17"/>
      <c r="AZ67" s="16"/>
      <c r="BA67" s="16"/>
      <c r="BB67" s="21" t="s">
        <v>63</v>
      </c>
      <c r="BC67" s="17"/>
      <c r="BD67" s="21" t="s">
        <v>63</v>
      </c>
      <c r="BE67" s="17"/>
      <c r="BF67" s="21" t="s">
        <v>63</v>
      </c>
      <c r="BG67" s="57"/>
      <c r="BH67" s="21" t="s">
        <v>63</v>
      </c>
      <c r="BI67" s="21"/>
      <c r="BJ67" s="21" t="s">
        <v>63</v>
      </c>
      <c r="BK67" s="21"/>
      <c r="BL67" s="21" t="s">
        <v>63</v>
      </c>
      <c r="BM67" s="21"/>
      <c r="BN67" s="21" t="s">
        <v>63</v>
      </c>
      <c r="BO67" s="21"/>
      <c r="BP67" s="21" t="s">
        <v>63</v>
      </c>
      <c r="BQ67" s="21"/>
      <c r="BR67" s="21" t="s">
        <v>63</v>
      </c>
      <c r="BS67" s="21"/>
      <c r="BT67" s="21" t="s">
        <v>63</v>
      </c>
      <c r="BU67" s="21"/>
    </row>
    <row r="68" spans="4:73" ht="12.75">
      <c r="D68" s="18" t="s">
        <v>26</v>
      </c>
      <c r="E68" s="13"/>
      <c r="F68" s="21" t="s">
        <v>63</v>
      </c>
      <c r="G68" s="16"/>
      <c r="H68" s="21" t="s">
        <v>63</v>
      </c>
      <c r="I68" s="16"/>
      <c r="J68" s="21" t="s">
        <v>63</v>
      </c>
      <c r="K68" s="16"/>
      <c r="L68" s="21" t="s">
        <v>63</v>
      </c>
      <c r="M68" s="16"/>
      <c r="N68" s="21" t="s">
        <v>63</v>
      </c>
      <c r="O68" s="16"/>
      <c r="P68" s="21" t="s">
        <v>63</v>
      </c>
      <c r="Q68" s="16"/>
      <c r="R68" s="21" t="s">
        <v>63</v>
      </c>
      <c r="S68" s="16"/>
      <c r="T68" s="21" t="s">
        <v>63</v>
      </c>
      <c r="U68" s="16"/>
      <c r="V68" s="21" t="s">
        <v>63</v>
      </c>
      <c r="W68" s="16"/>
      <c r="X68" s="21" t="s">
        <v>63</v>
      </c>
      <c r="Y68" s="16"/>
      <c r="Z68" s="21" t="s">
        <v>63</v>
      </c>
      <c r="AA68" s="16"/>
      <c r="AB68" s="21" t="s">
        <v>63</v>
      </c>
      <c r="AC68" s="16"/>
      <c r="AD68" s="16">
        <v>1500</v>
      </c>
      <c r="AE68" s="16"/>
      <c r="AF68" s="21" t="s">
        <v>63</v>
      </c>
      <c r="AG68" s="16"/>
      <c r="AH68" s="21" t="s">
        <v>63</v>
      </c>
      <c r="AI68" s="16"/>
      <c r="AJ68" s="21" t="s">
        <v>63</v>
      </c>
      <c r="AK68" s="16"/>
      <c r="AL68" s="21" t="s">
        <v>63</v>
      </c>
      <c r="AM68" s="16"/>
      <c r="AN68" s="19" t="s">
        <v>63</v>
      </c>
      <c r="AO68" s="16"/>
      <c r="AP68" s="21" t="s">
        <v>63</v>
      </c>
      <c r="AQ68" s="16"/>
      <c r="AR68" s="21" t="s">
        <v>63</v>
      </c>
      <c r="AS68" s="16"/>
      <c r="AT68" s="21" t="s">
        <v>63</v>
      </c>
      <c r="AU68" s="16"/>
      <c r="AV68" s="21" t="s">
        <v>63</v>
      </c>
      <c r="AW68" s="17"/>
      <c r="AX68" s="21" t="s">
        <v>63</v>
      </c>
      <c r="AY68" s="17"/>
      <c r="AZ68" s="16"/>
      <c r="BA68" s="16"/>
      <c r="BB68" s="21" t="s">
        <v>63</v>
      </c>
      <c r="BC68" s="17"/>
      <c r="BD68" s="21" t="s">
        <v>63</v>
      </c>
      <c r="BE68" s="17"/>
      <c r="BF68" s="21" t="s">
        <v>63</v>
      </c>
      <c r="BG68" s="57"/>
      <c r="BH68" s="21" t="s">
        <v>63</v>
      </c>
      <c r="BI68" s="21"/>
      <c r="BJ68" s="21" t="s">
        <v>63</v>
      </c>
      <c r="BK68" s="21"/>
      <c r="BL68" s="21" t="s">
        <v>63</v>
      </c>
      <c r="BM68" s="21"/>
      <c r="BN68" s="21" t="s">
        <v>63</v>
      </c>
      <c r="BO68" s="21"/>
      <c r="BP68" s="21" t="s">
        <v>63</v>
      </c>
      <c r="BQ68" s="21"/>
      <c r="BR68" s="21" t="s">
        <v>63</v>
      </c>
      <c r="BS68" s="21"/>
      <c r="BT68" s="21" t="s">
        <v>63</v>
      </c>
      <c r="BU68" s="21"/>
    </row>
    <row r="69" spans="4:73" ht="12.75">
      <c r="D69" s="18" t="s">
        <v>125</v>
      </c>
      <c r="E69" s="13"/>
      <c r="F69" s="21" t="s">
        <v>63</v>
      </c>
      <c r="G69" s="16"/>
      <c r="H69" s="21" t="s">
        <v>63</v>
      </c>
      <c r="I69" s="16"/>
      <c r="J69" s="21" t="s">
        <v>63</v>
      </c>
      <c r="K69" s="16"/>
      <c r="L69" s="21" t="s">
        <v>63</v>
      </c>
      <c r="M69" s="16"/>
      <c r="N69" s="21" t="s">
        <v>63</v>
      </c>
      <c r="O69" s="16"/>
      <c r="P69" s="21" t="s">
        <v>63</v>
      </c>
      <c r="Q69" s="16"/>
      <c r="R69" s="21" t="s">
        <v>63</v>
      </c>
      <c r="S69" s="16"/>
      <c r="T69" s="21" t="s">
        <v>63</v>
      </c>
      <c r="U69" s="16"/>
      <c r="V69" s="21" t="s">
        <v>63</v>
      </c>
      <c r="W69" s="16"/>
      <c r="X69" s="21" t="s">
        <v>63</v>
      </c>
      <c r="Y69" s="16"/>
      <c r="Z69" s="21" t="s">
        <v>63</v>
      </c>
      <c r="AA69" s="16"/>
      <c r="AB69" s="21" t="s">
        <v>63</v>
      </c>
      <c r="AC69" s="16"/>
      <c r="AD69" s="21" t="s">
        <v>63</v>
      </c>
      <c r="AE69" s="16"/>
      <c r="AF69" s="21" t="s">
        <v>63</v>
      </c>
      <c r="AG69" s="16"/>
      <c r="AH69" s="21" t="s">
        <v>63</v>
      </c>
      <c r="AI69" s="16"/>
      <c r="AJ69" s="21" t="s">
        <v>63</v>
      </c>
      <c r="AK69" s="16"/>
      <c r="AL69" s="21" t="s">
        <v>63</v>
      </c>
      <c r="AM69" s="16"/>
      <c r="AN69" s="19" t="s">
        <v>63</v>
      </c>
      <c r="AO69" s="16"/>
      <c r="AP69" s="21" t="s">
        <v>63</v>
      </c>
      <c r="AQ69" s="16"/>
      <c r="AR69" s="21" t="s">
        <v>63</v>
      </c>
      <c r="AS69" s="16"/>
      <c r="AT69" s="21" t="s">
        <v>63</v>
      </c>
      <c r="AU69" s="16"/>
      <c r="AV69" s="21" t="s">
        <v>63</v>
      </c>
      <c r="AW69" s="16"/>
      <c r="AX69" s="19" t="s">
        <v>63</v>
      </c>
      <c r="AY69" s="17"/>
      <c r="AZ69" s="16">
        <v>124000</v>
      </c>
      <c r="BA69" s="16"/>
      <c r="BB69" s="19">
        <f>124000000/1000</f>
        <v>124000</v>
      </c>
      <c r="BC69" s="17"/>
      <c r="BD69" s="19">
        <v>0</v>
      </c>
      <c r="BE69" s="17"/>
      <c r="BF69" s="19">
        <v>0</v>
      </c>
      <c r="BG69" s="57"/>
      <c r="BH69" s="19">
        <v>0</v>
      </c>
      <c r="BI69" s="21"/>
      <c r="BJ69" s="21" t="s">
        <v>63</v>
      </c>
      <c r="BK69" s="21"/>
      <c r="BL69" s="19">
        <v>0</v>
      </c>
      <c r="BM69" s="21"/>
      <c r="BN69" s="19">
        <v>0</v>
      </c>
      <c r="BO69" s="21"/>
      <c r="BP69" s="19">
        <v>0</v>
      </c>
      <c r="BQ69" s="21"/>
      <c r="BR69" s="19">
        <v>0</v>
      </c>
      <c r="BS69" s="21"/>
      <c r="BT69" s="19">
        <v>0</v>
      </c>
      <c r="BU69" s="21"/>
    </row>
    <row r="70" spans="1:73" ht="12.75">
      <c r="A70" s="3"/>
      <c r="D70" s="1" t="s">
        <v>206</v>
      </c>
      <c r="E70" s="13"/>
      <c r="F70" s="21" t="s">
        <v>63</v>
      </c>
      <c r="G70" s="16"/>
      <c r="H70" s="21" t="s">
        <v>63</v>
      </c>
      <c r="I70" s="16"/>
      <c r="J70" s="21" t="s">
        <v>63</v>
      </c>
      <c r="K70" s="16"/>
      <c r="L70" s="21" t="s">
        <v>63</v>
      </c>
      <c r="M70" s="16"/>
      <c r="N70" s="21" t="s">
        <v>63</v>
      </c>
      <c r="O70" s="16"/>
      <c r="P70" s="21" t="s">
        <v>63</v>
      </c>
      <c r="Q70" s="16"/>
      <c r="R70" s="21" t="s">
        <v>63</v>
      </c>
      <c r="S70" s="16"/>
      <c r="T70" s="21" t="s">
        <v>63</v>
      </c>
      <c r="U70" s="16"/>
      <c r="V70" s="21" t="s">
        <v>63</v>
      </c>
      <c r="W70" s="16"/>
      <c r="X70" s="21" t="s">
        <v>63</v>
      </c>
      <c r="Y70" s="16"/>
      <c r="Z70" s="21" t="s">
        <v>63</v>
      </c>
      <c r="AA70" s="16"/>
      <c r="AB70" s="21" t="s">
        <v>63</v>
      </c>
      <c r="AC70" s="16"/>
      <c r="AD70" s="21" t="s">
        <v>63</v>
      </c>
      <c r="AE70" s="16"/>
      <c r="AF70" s="21" t="s">
        <v>63</v>
      </c>
      <c r="AG70" s="16"/>
      <c r="AH70" s="21" t="s">
        <v>63</v>
      </c>
      <c r="AI70" s="16"/>
      <c r="AJ70" s="21" t="s">
        <v>63</v>
      </c>
      <c r="AK70" s="16"/>
      <c r="AL70" s="21" t="s">
        <v>63</v>
      </c>
      <c r="AM70" s="16"/>
      <c r="AN70" s="19" t="s">
        <v>63</v>
      </c>
      <c r="AO70" s="16"/>
      <c r="AP70" s="21" t="s">
        <v>63</v>
      </c>
      <c r="AQ70" s="16"/>
      <c r="AR70" s="21" t="s">
        <v>63</v>
      </c>
      <c r="AS70" s="16"/>
      <c r="AT70" s="21" t="s">
        <v>63</v>
      </c>
      <c r="AU70" s="16"/>
      <c r="AV70" s="21" t="s">
        <v>63</v>
      </c>
      <c r="AW70" s="16"/>
      <c r="AX70" s="19" t="s">
        <v>63</v>
      </c>
      <c r="AY70" s="17"/>
      <c r="AZ70" s="16"/>
      <c r="BA70" s="16"/>
      <c r="BB70" s="19" t="s">
        <v>63</v>
      </c>
      <c r="BC70" s="17"/>
      <c r="BD70" s="19" t="s">
        <v>63</v>
      </c>
      <c r="BE70" s="17"/>
      <c r="BF70" s="19" t="s">
        <v>63</v>
      </c>
      <c r="BG70" s="57"/>
      <c r="BH70" s="19" t="s">
        <v>63</v>
      </c>
      <c r="BI70" s="21"/>
      <c r="BJ70" s="21">
        <f>495000000/1000</f>
        <v>495000</v>
      </c>
      <c r="BK70" s="21"/>
      <c r="BL70" s="19" t="s">
        <v>63</v>
      </c>
      <c r="BM70" s="21"/>
      <c r="BN70" s="19" t="s">
        <v>63</v>
      </c>
      <c r="BO70" s="21"/>
      <c r="BP70" s="19" t="s">
        <v>63</v>
      </c>
      <c r="BQ70" s="21"/>
      <c r="BR70" s="19" t="s">
        <v>63</v>
      </c>
      <c r="BS70" s="21"/>
      <c r="BT70" s="19" t="s">
        <v>63</v>
      </c>
      <c r="BU70" s="21"/>
    </row>
    <row r="71" spans="4:73" ht="12.75">
      <c r="D71" s="18" t="s">
        <v>207</v>
      </c>
      <c r="E71" s="13"/>
      <c r="F71" s="21" t="s">
        <v>63</v>
      </c>
      <c r="G71" s="16"/>
      <c r="H71" s="21" t="s">
        <v>63</v>
      </c>
      <c r="I71" s="16"/>
      <c r="J71" s="21" t="s">
        <v>63</v>
      </c>
      <c r="K71" s="16"/>
      <c r="L71" s="21" t="s">
        <v>63</v>
      </c>
      <c r="M71" s="16"/>
      <c r="N71" s="21" t="s">
        <v>63</v>
      </c>
      <c r="O71" s="16"/>
      <c r="P71" s="21" t="s">
        <v>63</v>
      </c>
      <c r="Q71" s="16"/>
      <c r="R71" s="21" t="s">
        <v>63</v>
      </c>
      <c r="S71" s="16"/>
      <c r="T71" s="21" t="s">
        <v>63</v>
      </c>
      <c r="U71" s="16"/>
      <c r="V71" s="21" t="s">
        <v>63</v>
      </c>
      <c r="W71" s="16"/>
      <c r="X71" s="21" t="s">
        <v>63</v>
      </c>
      <c r="Y71" s="16"/>
      <c r="Z71" s="21" t="s">
        <v>63</v>
      </c>
      <c r="AA71" s="16"/>
      <c r="AB71" s="21" t="s">
        <v>63</v>
      </c>
      <c r="AC71" s="16"/>
      <c r="AD71" s="21" t="s">
        <v>63</v>
      </c>
      <c r="AE71" s="16"/>
      <c r="AF71" s="21" t="s">
        <v>63</v>
      </c>
      <c r="AG71" s="16"/>
      <c r="AH71" s="21" t="s">
        <v>63</v>
      </c>
      <c r="AI71" s="16"/>
      <c r="AJ71" s="21" t="s">
        <v>63</v>
      </c>
      <c r="AK71" s="16"/>
      <c r="AL71" s="21" t="s">
        <v>63</v>
      </c>
      <c r="AM71" s="16"/>
      <c r="AN71" s="19" t="s">
        <v>63</v>
      </c>
      <c r="AO71" s="16"/>
      <c r="AP71" s="21" t="s">
        <v>63</v>
      </c>
      <c r="AQ71" s="16"/>
      <c r="AR71" s="21" t="s">
        <v>63</v>
      </c>
      <c r="AS71" s="16"/>
      <c r="AT71" s="21" t="s">
        <v>63</v>
      </c>
      <c r="AU71" s="16"/>
      <c r="AV71" s="21" t="s">
        <v>63</v>
      </c>
      <c r="AW71" s="16"/>
      <c r="AX71" s="19" t="s">
        <v>63</v>
      </c>
      <c r="AY71" s="17"/>
      <c r="AZ71" s="16"/>
      <c r="BA71" s="16"/>
      <c r="BB71" s="19" t="s">
        <v>63</v>
      </c>
      <c r="BC71" s="17"/>
      <c r="BD71" s="19" t="s">
        <v>63</v>
      </c>
      <c r="BE71" s="17"/>
      <c r="BF71" s="19" t="s">
        <v>63</v>
      </c>
      <c r="BG71" s="57"/>
      <c r="BH71" s="19" t="s">
        <v>63</v>
      </c>
      <c r="BI71" s="21"/>
      <c r="BJ71" s="21">
        <f>247500000/1000</f>
        <v>247500</v>
      </c>
      <c r="BK71" s="21"/>
      <c r="BL71" s="19" t="s">
        <v>63</v>
      </c>
      <c r="BM71" s="21"/>
      <c r="BN71" s="19" t="s">
        <v>63</v>
      </c>
      <c r="BO71" s="21"/>
      <c r="BP71" s="19" t="s">
        <v>63</v>
      </c>
      <c r="BQ71" s="21"/>
      <c r="BR71" s="19" t="s">
        <v>63</v>
      </c>
      <c r="BS71" s="21"/>
      <c r="BT71" s="19" t="s">
        <v>63</v>
      </c>
      <c r="BU71" s="21"/>
    </row>
    <row r="72" spans="2:73" ht="12.75">
      <c r="B72" s="11" t="s">
        <v>27</v>
      </c>
      <c r="C72" s="11"/>
      <c r="D72" s="13"/>
      <c r="E72" s="13"/>
      <c r="F72" s="16">
        <v>20000</v>
      </c>
      <c r="G72" s="16"/>
      <c r="H72" s="16">
        <v>0</v>
      </c>
      <c r="I72" s="16"/>
      <c r="J72" s="16">
        <f t="shared" si="0"/>
        <v>20000</v>
      </c>
      <c r="K72" s="16"/>
      <c r="L72" s="16">
        <v>0</v>
      </c>
      <c r="M72" s="16"/>
      <c r="N72" s="16">
        <v>0</v>
      </c>
      <c r="O72" s="16"/>
      <c r="P72" s="21" t="s">
        <v>63</v>
      </c>
      <c r="Q72" s="16"/>
      <c r="R72" s="21" t="s">
        <v>63</v>
      </c>
      <c r="S72" s="16"/>
      <c r="T72" s="21" t="s">
        <v>63</v>
      </c>
      <c r="U72" s="16"/>
      <c r="V72" s="21" t="s">
        <v>63</v>
      </c>
      <c r="W72" s="16"/>
      <c r="X72" s="21" t="s">
        <v>63</v>
      </c>
      <c r="Y72" s="16"/>
      <c r="Z72" s="21" t="s">
        <v>63</v>
      </c>
      <c r="AA72" s="16"/>
      <c r="AB72" s="21" t="s">
        <v>63</v>
      </c>
      <c r="AC72" s="16"/>
      <c r="AD72" s="21" t="s">
        <v>63</v>
      </c>
      <c r="AE72" s="16"/>
      <c r="AF72" s="21" t="s">
        <v>63</v>
      </c>
      <c r="AG72" s="16"/>
      <c r="AH72" s="21" t="s">
        <v>63</v>
      </c>
      <c r="AI72" s="16"/>
      <c r="AJ72" s="21" t="s">
        <v>63</v>
      </c>
      <c r="AK72" s="16"/>
      <c r="AL72" s="21" t="s">
        <v>63</v>
      </c>
      <c r="AM72" s="16"/>
      <c r="AN72" s="19" t="s">
        <v>63</v>
      </c>
      <c r="AO72" s="16"/>
      <c r="AP72" s="21" t="s">
        <v>63</v>
      </c>
      <c r="AQ72" s="16"/>
      <c r="AR72" s="21" t="s">
        <v>63</v>
      </c>
      <c r="AS72" s="16"/>
      <c r="AT72" s="21" t="s">
        <v>63</v>
      </c>
      <c r="AU72" s="16"/>
      <c r="AV72" s="21" t="s">
        <v>63</v>
      </c>
      <c r="AW72" s="16"/>
      <c r="AX72" s="19" t="s">
        <v>63</v>
      </c>
      <c r="AY72" s="17"/>
      <c r="AZ72" s="16"/>
      <c r="BA72" s="16"/>
      <c r="BB72" s="19" t="s">
        <v>63</v>
      </c>
      <c r="BC72" s="17"/>
      <c r="BD72" s="19" t="s">
        <v>63</v>
      </c>
      <c r="BE72" s="17"/>
      <c r="BF72" s="19" t="s">
        <v>63</v>
      </c>
      <c r="BG72" s="57"/>
      <c r="BH72" s="19" t="s">
        <v>63</v>
      </c>
      <c r="BI72" s="21"/>
      <c r="BJ72" s="21" t="s">
        <v>63</v>
      </c>
      <c r="BK72" s="21"/>
      <c r="BL72" s="19" t="s">
        <v>63</v>
      </c>
      <c r="BM72" s="21"/>
      <c r="BN72" s="19" t="s">
        <v>63</v>
      </c>
      <c r="BO72" s="21"/>
      <c r="BP72" s="19" t="s">
        <v>63</v>
      </c>
      <c r="BQ72" s="21"/>
      <c r="BR72" s="19" t="s">
        <v>63</v>
      </c>
      <c r="BS72" s="21"/>
      <c r="BT72" s="19" t="s">
        <v>63</v>
      </c>
      <c r="BU72" s="21"/>
    </row>
    <row r="73" spans="2:73" ht="12.75">
      <c r="B73" s="13" t="s">
        <v>28</v>
      </c>
      <c r="C73" s="13"/>
      <c r="D73" s="13"/>
      <c r="E73" s="13"/>
      <c r="F73" s="16">
        <v>400</v>
      </c>
      <c r="G73" s="16"/>
      <c r="H73" s="16">
        <v>0</v>
      </c>
      <c r="I73" s="16"/>
      <c r="J73" s="16">
        <f t="shared" si="0"/>
        <v>400</v>
      </c>
      <c r="K73" s="16"/>
      <c r="L73" s="16">
        <v>0</v>
      </c>
      <c r="M73" s="16"/>
      <c r="N73" s="16">
        <v>0</v>
      </c>
      <c r="O73" s="16"/>
      <c r="P73" s="21" t="s">
        <v>63</v>
      </c>
      <c r="Q73" s="16"/>
      <c r="R73" s="21" t="s">
        <v>63</v>
      </c>
      <c r="S73" s="16"/>
      <c r="T73" s="21" t="s">
        <v>63</v>
      </c>
      <c r="U73" s="16"/>
      <c r="V73" s="21" t="s">
        <v>63</v>
      </c>
      <c r="W73" s="16"/>
      <c r="X73" s="21" t="s">
        <v>63</v>
      </c>
      <c r="Y73" s="16"/>
      <c r="Z73" s="21" t="s">
        <v>63</v>
      </c>
      <c r="AA73" s="16"/>
      <c r="AB73" s="21" t="s">
        <v>63</v>
      </c>
      <c r="AC73" s="16"/>
      <c r="AD73" s="21" t="s">
        <v>63</v>
      </c>
      <c r="AE73" s="16"/>
      <c r="AF73" s="21" t="s">
        <v>63</v>
      </c>
      <c r="AG73" s="16"/>
      <c r="AH73" s="21" t="s">
        <v>63</v>
      </c>
      <c r="AI73" s="16"/>
      <c r="AJ73" s="21" t="s">
        <v>63</v>
      </c>
      <c r="AK73" s="16"/>
      <c r="AL73" s="21" t="s">
        <v>63</v>
      </c>
      <c r="AM73" s="16"/>
      <c r="AN73" s="19" t="s">
        <v>63</v>
      </c>
      <c r="AO73" s="16"/>
      <c r="AP73" s="21" t="s">
        <v>63</v>
      </c>
      <c r="AQ73" s="16"/>
      <c r="AR73" s="21" t="s">
        <v>63</v>
      </c>
      <c r="AS73" s="16"/>
      <c r="AT73" s="21" t="s">
        <v>63</v>
      </c>
      <c r="AU73" s="16"/>
      <c r="AV73" s="21" t="s">
        <v>63</v>
      </c>
      <c r="AW73" s="16"/>
      <c r="AX73" s="19" t="s">
        <v>63</v>
      </c>
      <c r="AY73" s="17"/>
      <c r="AZ73" s="16"/>
      <c r="BA73" s="16"/>
      <c r="BB73" s="19" t="s">
        <v>63</v>
      </c>
      <c r="BC73" s="17"/>
      <c r="BD73" s="19" t="s">
        <v>63</v>
      </c>
      <c r="BE73" s="17"/>
      <c r="BF73" s="19" t="s">
        <v>63</v>
      </c>
      <c r="BG73" s="57"/>
      <c r="BH73" s="19" t="s">
        <v>63</v>
      </c>
      <c r="BI73" s="21"/>
      <c r="BJ73" s="21" t="s">
        <v>63</v>
      </c>
      <c r="BK73" s="21"/>
      <c r="BL73" s="19" t="s">
        <v>63</v>
      </c>
      <c r="BM73" s="21"/>
      <c r="BN73" s="19" t="s">
        <v>63</v>
      </c>
      <c r="BO73" s="21"/>
      <c r="BP73" s="19" t="s">
        <v>63</v>
      </c>
      <c r="BQ73" s="21"/>
      <c r="BR73" s="19" t="s">
        <v>63</v>
      </c>
      <c r="BS73" s="21"/>
      <c r="BT73" s="19" t="s">
        <v>63</v>
      </c>
      <c r="BU73" s="21"/>
    </row>
    <row r="74" spans="2:73" ht="12.75">
      <c r="B74" s="13" t="s">
        <v>29</v>
      </c>
      <c r="C74" s="13"/>
      <c r="D74" s="13"/>
      <c r="E74" s="13"/>
      <c r="F74" s="21" t="s">
        <v>63</v>
      </c>
      <c r="G74" s="16"/>
      <c r="H74" s="21" t="s">
        <v>63</v>
      </c>
      <c r="I74" s="16"/>
      <c r="J74" s="21" t="s">
        <v>63</v>
      </c>
      <c r="K74" s="16"/>
      <c r="L74" s="16">
        <v>26000</v>
      </c>
      <c r="M74" s="16"/>
      <c r="N74" s="16">
        <v>24882</v>
      </c>
      <c r="O74" s="16"/>
      <c r="P74" s="16">
        <v>49900</v>
      </c>
      <c r="Q74" s="16"/>
      <c r="R74" s="16">
        <v>50388</v>
      </c>
      <c r="S74" s="17" t="s">
        <v>158</v>
      </c>
      <c r="T74" s="16">
        <v>45352</v>
      </c>
      <c r="U74" s="16"/>
      <c r="V74" s="21" t="s">
        <v>63</v>
      </c>
      <c r="W74" s="16"/>
      <c r="X74" s="21" t="s">
        <v>63</v>
      </c>
      <c r="Y74" s="16"/>
      <c r="Z74" s="21" t="s">
        <v>63</v>
      </c>
      <c r="AA74" s="16"/>
      <c r="AB74" s="21" t="s">
        <v>63</v>
      </c>
      <c r="AC74" s="16"/>
      <c r="AD74" s="21" t="s">
        <v>63</v>
      </c>
      <c r="AE74" s="16"/>
      <c r="AF74" s="21" t="s">
        <v>63</v>
      </c>
      <c r="AG74" s="16"/>
      <c r="AH74" s="21" t="s">
        <v>63</v>
      </c>
      <c r="AI74" s="16"/>
      <c r="AJ74" s="21" t="s">
        <v>63</v>
      </c>
      <c r="AK74" s="16"/>
      <c r="AL74" s="21" t="s">
        <v>63</v>
      </c>
      <c r="AM74" s="16"/>
      <c r="AN74" s="19" t="s">
        <v>63</v>
      </c>
      <c r="AO74" s="16"/>
      <c r="AP74" s="21" t="s">
        <v>63</v>
      </c>
      <c r="AQ74" s="16"/>
      <c r="AR74" s="21" t="s">
        <v>63</v>
      </c>
      <c r="AS74" s="16"/>
      <c r="AT74" s="21" t="s">
        <v>63</v>
      </c>
      <c r="AU74" s="16"/>
      <c r="AV74" s="21" t="s">
        <v>63</v>
      </c>
      <c r="AW74" s="16"/>
      <c r="AX74" s="19" t="s">
        <v>63</v>
      </c>
      <c r="AY74" s="17"/>
      <c r="AZ74" s="16"/>
      <c r="BA74" s="16"/>
      <c r="BB74" s="19" t="s">
        <v>63</v>
      </c>
      <c r="BC74" s="17"/>
      <c r="BD74" s="19" t="s">
        <v>63</v>
      </c>
      <c r="BE74" s="17"/>
      <c r="BF74" s="19" t="s">
        <v>63</v>
      </c>
      <c r="BG74" s="57"/>
      <c r="BH74" s="19" t="s">
        <v>63</v>
      </c>
      <c r="BI74" s="21"/>
      <c r="BJ74" s="21" t="s">
        <v>63</v>
      </c>
      <c r="BK74" s="21"/>
      <c r="BL74" s="19" t="s">
        <v>63</v>
      </c>
      <c r="BM74" s="21"/>
      <c r="BN74" s="19" t="s">
        <v>63</v>
      </c>
      <c r="BO74" s="21"/>
      <c r="BP74" s="19" t="s">
        <v>63</v>
      </c>
      <c r="BQ74" s="21"/>
      <c r="BR74" s="19" t="s">
        <v>63</v>
      </c>
      <c r="BS74" s="21"/>
      <c r="BT74" s="19" t="s">
        <v>63</v>
      </c>
      <c r="BU74" s="21"/>
    </row>
    <row r="75" spans="2:73" ht="12.75">
      <c r="B75" s="13" t="s">
        <v>30</v>
      </c>
      <c r="C75" s="13"/>
      <c r="D75" s="13"/>
      <c r="E75" s="13"/>
      <c r="F75" s="21" t="s">
        <v>63</v>
      </c>
      <c r="G75" s="16"/>
      <c r="H75" s="21" t="s">
        <v>63</v>
      </c>
      <c r="I75" s="16"/>
      <c r="J75" s="21" t="s">
        <v>63</v>
      </c>
      <c r="K75" s="16"/>
      <c r="L75" s="21" t="s">
        <v>63</v>
      </c>
      <c r="M75" s="16"/>
      <c r="N75" s="21" t="s">
        <v>63</v>
      </c>
      <c r="O75" s="16"/>
      <c r="P75" s="21" t="s">
        <v>63</v>
      </c>
      <c r="Q75" s="16"/>
      <c r="R75" s="16">
        <f>R76+R77</f>
        <v>9574</v>
      </c>
      <c r="S75" s="16"/>
      <c r="T75" s="16">
        <f>T76+T77</f>
        <v>9386</v>
      </c>
      <c r="U75" s="16"/>
      <c r="V75" s="16">
        <f>V76+V77</f>
        <v>12843</v>
      </c>
      <c r="W75" s="17" t="s">
        <v>158</v>
      </c>
      <c r="X75" s="16">
        <f>X76+X77</f>
        <v>11223</v>
      </c>
      <c r="Y75" s="17" t="s">
        <v>159</v>
      </c>
      <c r="Z75" s="16">
        <f>Z76+Z77</f>
        <v>9312</v>
      </c>
      <c r="AA75" s="16"/>
      <c r="AB75" s="16">
        <f>AB76+AB77</f>
        <v>12537</v>
      </c>
      <c r="AC75" s="16"/>
      <c r="AD75" s="16">
        <f>AD76+AD77</f>
        <v>12537</v>
      </c>
      <c r="AE75" s="16"/>
      <c r="AF75" s="16">
        <f>AF76+AF77</f>
        <v>0</v>
      </c>
      <c r="AG75" s="16"/>
      <c r="AH75" s="16">
        <f>AH76+AH77</f>
        <v>0</v>
      </c>
      <c r="AI75" s="16"/>
      <c r="AJ75" s="16">
        <f>AJ76+AJ77</f>
        <v>0</v>
      </c>
      <c r="AK75" s="16"/>
      <c r="AL75" s="16">
        <f>AL76+AL77</f>
        <v>3000</v>
      </c>
      <c r="AM75" s="16"/>
      <c r="AN75" s="16">
        <f>AN76+AN77</f>
        <v>3000</v>
      </c>
      <c r="AO75" s="16"/>
      <c r="AP75" s="16">
        <f>AP76+AP77</f>
        <v>9636</v>
      </c>
      <c r="AQ75" s="16"/>
      <c r="AR75" s="16">
        <f>AR76+AR77</f>
        <v>0</v>
      </c>
      <c r="AS75" s="16"/>
      <c r="AT75" s="16">
        <f>AT76+AT77</f>
        <v>0</v>
      </c>
      <c r="AU75" s="16"/>
      <c r="AV75" s="16">
        <f>AV76+AV77</f>
        <v>0</v>
      </c>
      <c r="AW75" s="17"/>
      <c r="AX75" s="19" t="s">
        <v>63</v>
      </c>
      <c r="AY75" s="17"/>
      <c r="AZ75" s="16"/>
      <c r="BA75" s="16"/>
      <c r="BB75" s="19" t="s">
        <v>63</v>
      </c>
      <c r="BC75" s="17"/>
      <c r="BD75" s="19" t="s">
        <v>63</v>
      </c>
      <c r="BE75" s="17"/>
      <c r="BF75" s="19" t="s">
        <v>63</v>
      </c>
      <c r="BG75" s="57"/>
      <c r="BH75" s="19" t="s">
        <v>63</v>
      </c>
      <c r="BI75" s="21"/>
      <c r="BJ75" s="21" t="s">
        <v>63</v>
      </c>
      <c r="BK75" s="21"/>
      <c r="BL75" s="19" t="s">
        <v>63</v>
      </c>
      <c r="BM75" s="21"/>
      <c r="BN75" s="19" t="s">
        <v>63</v>
      </c>
      <c r="BO75" s="21"/>
      <c r="BP75" s="19" t="s">
        <v>63</v>
      </c>
      <c r="BQ75" s="21"/>
      <c r="BR75" s="19" t="s">
        <v>63</v>
      </c>
      <c r="BS75" s="21"/>
      <c r="BT75" s="19" t="s">
        <v>63</v>
      </c>
      <c r="BU75" s="21"/>
    </row>
    <row r="76" spans="3:73" ht="12.75">
      <c r="C76" s="13" t="s">
        <v>31</v>
      </c>
      <c r="D76" s="13"/>
      <c r="E76" s="13"/>
      <c r="F76" s="21" t="s">
        <v>63</v>
      </c>
      <c r="G76" s="16"/>
      <c r="H76" s="21" t="s">
        <v>63</v>
      </c>
      <c r="I76" s="16"/>
      <c r="J76" s="21" t="s">
        <v>63</v>
      </c>
      <c r="K76" s="16"/>
      <c r="L76" s="21" t="s">
        <v>63</v>
      </c>
      <c r="M76" s="16"/>
      <c r="N76" s="21" t="s">
        <v>63</v>
      </c>
      <c r="O76" s="16"/>
      <c r="P76" s="21" t="s">
        <v>63</v>
      </c>
      <c r="Q76" s="16"/>
      <c r="R76" s="16">
        <v>7659</v>
      </c>
      <c r="S76" s="16"/>
      <c r="T76" s="16">
        <v>7509</v>
      </c>
      <c r="U76" s="16"/>
      <c r="V76" s="16">
        <v>10669</v>
      </c>
      <c r="W76" s="16"/>
      <c r="X76" s="16">
        <v>9459</v>
      </c>
      <c r="Y76" s="16"/>
      <c r="Z76" s="16">
        <v>7946</v>
      </c>
      <c r="AA76" s="16"/>
      <c r="AB76" s="16">
        <v>7482</v>
      </c>
      <c r="AC76" s="16"/>
      <c r="AD76" s="16">
        <v>7482</v>
      </c>
      <c r="AE76" s="16"/>
      <c r="AF76" s="16">
        <v>0</v>
      </c>
      <c r="AG76" s="16"/>
      <c r="AH76" s="16">
        <v>0</v>
      </c>
      <c r="AI76" s="16"/>
      <c r="AJ76" s="16">
        <v>0</v>
      </c>
      <c r="AK76" s="16"/>
      <c r="AL76" s="16">
        <v>3000</v>
      </c>
      <c r="AM76" s="16"/>
      <c r="AN76" s="16">
        <v>3000</v>
      </c>
      <c r="AO76" s="16"/>
      <c r="AP76" s="16">
        <v>9636</v>
      </c>
      <c r="AQ76" s="16"/>
      <c r="AR76" s="16">
        <v>0</v>
      </c>
      <c r="AS76" s="16" t="s">
        <v>161</v>
      </c>
      <c r="AT76" s="16">
        <v>0</v>
      </c>
      <c r="AU76" s="16"/>
      <c r="AV76" s="16">
        <v>0</v>
      </c>
      <c r="AW76" s="17"/>
      <c r="AX76" s="19" t="s">
        <v>63</v>
      </c>
      <c r="AY76" s="17"/>
      <c r="AZ76" s="16"/>
      <c r="BA76" s="16"/>
      <c r="BB76" s="19" t="s">
        <v>63</v>
      </c>
      <c r="BC76" s="17"/>
      <c r="BD76" s="19" t="s">
        <v>63</v>
      </c>
      <c r="BE76" s="17"/>
      <c r="BF76" s="19" t="s">
        <v>63</v>
      </c>
      <c r="BG76" s="57"/>
      <c r="BH76" s="19" t="s">
        <v>63</v>
      </c>
      <c r="BI76" s="21"/>
      <c r="BJ76" s="21" t="s">
        <v>63</v>
      </c>
      <c r="BK76" s="21"/>
      <c r="BL76" s="19" t="s">
        <v>63</v>
      </c>
      <c r="BM76" s="21"/>
      <c r="BN76" s="19" t="s">
        <v>63</v>
      </c>
      <c r="BO76" s="21"/>
      <c r="BP76" s="19" t="s">
        <v>63</v>
      </c>
      <c r="BQ76" s="21"/>
      <c r="BR76" s="19" t="s">
        <v>63</v>
      </c>
      <c r="BS76" s="21"/>
      <c r="BT76" s="19" t="s">
        <v>63</v>
      </c>
      <c r="BU76" s="21"/>
    </row>
    <row r="77" spans="3:73" ht="12.75">
      <c r="C77" s="13" t="s">
        <v>32</v>
      </c>
      <c r="D77" s="13"/>
      <c r="E77" s="13"/>
      <c r="F77" s="21" t="s">
        <v>63</v>
      </c>
      <c r="G77" s="16"/>
      <c r="H77" s="21" t="s">
        <v>63</v>
      </c>
      <c r="I77" s="16"/>
      <c r="J77" s="21" t="s">
        <v>63</v>
      </c>
      <c r="K77" s="16"/>
      <c r="L77" s="21" t="s">
        <v>63</v>
      </c>
      <c r="M77" s="16"/>
      <c r="N77" s="21" t="s">
        <v>63</v>
      </c>
      <c r="O77" s="16"/>
      <c r="P77" s="21" t="s">
        <v>63</v>
      </c>
      <c r="Q77" s="16"/>
      <c r="R77" s="16">
        <v>1915</v>
      </c>
      <c r="S77" s="16"/>
      <c r="T77" s="16">
        <v>1877</v>
      </c>
      <c r="U77" s="16"/>
      <c r="V77" s="16">
        <v>2174</v>
      </c>
      <c r="W77" s="16"/>
      <c r="X77" s="16">
        <v>1764</v>
      </c>
      <c r="Y77" s="16"/>
      <c r="Z77" s="16">
        <v>1366</v>
      </c>
      <c r="AA77" s="16"/>
      <c r="AB77" s="16">
        <v>5055</v>
      </c>
      <c r="AC77" s="16"/>
      <c r="AD77" s="16">
        <v>5055</v>
      </c>
      <c r="AE77" s="16"/>
      <c r="AF77" s="16">
        <v>0</v>
      </c>
      <c r="AG77" s="16"/>
      <c r="AH77" s="16">
        <v>0</v>
      </c>
      <c r="AI77" s="16"/>
      <c r="AJ77" s="16">
        <v>0</v>
      </c>
      <c r="AK77" s="16"/>
      <c r="AL77" s="16">
        <v>0</v>
      </c>
      <c r="AM77" s="16"/>
      <c r="AN77" s="16">
        <v>0</v>
      </c>
      <c r="AO77" s="16"/>
      <c r="AP77" s="16">
        <v>0</v>
      </c>
      <c r="AQ77" s="16"/>
      <c r="AR77" s="16">
        <v>0</v>
      </c>
      <c r="AS77" s="16"/>
      <c r="AT77" s="16">
        <v>0</v>
      </c>
      <c r="AU77" s="16"/>
      <c r="AV77" s="16">
        <v>0</v>
      </c>
      <c r="AW77" s="17"/>
      <c r="AX77" s="19" t="s">
        <v>63</v>
      </c>
      <c r="AY77" s="17"/>
      <c r="AZ77" s="16"/>
      <c r="BA77" s="16"/>
      <c r="BB77" s="19" t="s">
        <v>63</v>
      </c>
      <c r="BC77" s="17"/>
      <c r="BD77" s="19" t="s">
        <v>63</v>
      </c>
      <c r="BE77" s="17"/>
      <c r="BF77" s="19" t="s">
        <v>63</v>
      </c>
      <c r="BG77" s="57"/>
      <c r="BH77" s="19" t="s">
        <v>63</v>
      </c>
      <c r="BI77" s="21"/>
      <c r="BJ77" s="21" t="s">
        <v>63</v>
      </c>
      <c r="BK77" s="21"/>
      <c r="BL77" s="19" t="s">
        <v>63</v>
      </c>
      <c r="BM77" s="21"/>
      <c r="BN77" s="19" t="s">
        <v>63</v>
      </c>
      <c r="BO77" s="21"/>
      <c r="BP77" s="19" t="s">
        <v>63</v>
      </c>
      <c r="BQ77" s="21"/>
      <c r="BR77" s="19" t="s">
        <v>63</v>
      </c>
      <c r="BS77" s="21"/>
      <c r="BT77" s="19" t="s">
        <v>63</v>
      </c>
      <c r="BU77" s="21"/>
    </row>
    <row r="78" spans="2:73" ht="12.75">
      <c r="B78" s="11" t="s">
        <v>33</v>
      </c>
      <c r="C78" s="13"/>
      <c r="D78" s="13"/>
      <c r="E78" s="13"/>
      <c r="F78" s="21" t="s">
        <v>63</v>
      </c>
      <c r="G78" s="16"/>
      <c r="H78" s="21" t="s">
        <v>63</v>
      </c>
      <c r="I78" s="16"/>
      <c r="J78" s="21" t="s">
        <v>63</v>
      </c>
      <c r="K78" s="16"/>
      <c r="L78" s="21" t="s">
        <v>63</v>
      </c>
      <c r="M78" s="16"/>
      <c r="N78" s="21" t="s">
        <v>63</v>
      </c>
      <c r="O78" s="16"/>
      <c r="P78" s="21" t="s">
        <v>63</v>
      </c>
      <c r="Q78" s="16"/>
      <c r="R78" s="21" t="s">
        <v>63</v>
      </c>
      <c r="S78" s="16"/>
      <c r="T78" s="21" t="s">
        <v>63</v>
      </c>
      <c r="U78" s="16"/>
      <c r="V78" s="21" t="s">
        <v>63</v>
      </c>
      <c r="W78" s="16"/>
      <c r="X78" s="21" t="s">
        <v>63</v>
      </c>
      <c r="Y78" s="16"/>
      <c r="Z78" s="21" t="s">
        <v>63</v>
      </c>
      <c r="AA78" s="16"/>
      <c r="AB78" s="21" t="s">
        <v>63</v>
      </c>
      <c r="AC78" s="16"/>
      <c r="AD78" s="16">
        <v>750</v>
      </c>
      <c r="AE78" s="16"/>
      <c r="AF78" s="16">
        <v>744</v>
      </c>
      <c r="AG78" s="16"/>
      <c r="AH78" s="16">
        <v>610</v>
      </c>
      <c r="AI78" s="16"/>
      <c r="AJ78" s="16">
        <v>610</v>
      </c>
      <c r="AK78" s="16"/>
      <c r="AL78" s="16">
        <v>1000</v>
      </c>
      <c r="AM78" s="16"/>
      <c r="AN78" s="16">
        <v>1000</v>
      </c>
      <c r="AO78" s="16"/>
      <c r="AP78" s="16">
        <v>927</v>
      </c>
      <c r="AQ78" s="16"/>
      <c r="AR78" s="16">
        <v>1000</v>
      </c>
      <c r="AS78" s="16"/>
      <c r="AT78" s="16">
        <f>1000000/1000</f>
        <v>1000</v>
      </c>
      <c r="AU78" s="16"/>
      <c r="AV78" s="16">
        <f>993500/1000</f>
        <v>993.5</v>
      </c>
      <c r="AW78" s="17"/>
      <c r="AX78" s="16">
        <v>0</v>
      </c>
      <c r="AY78" s="17"/>
      <c r="AZ78" s="16"/>
      <c r="BA78" s="16"/>
      <c r="BB78" s="16">
        <v>0</v>
      </c>
      <c r="BC78" s="17"/>
      <c r="BD78" s="16">
        <f>972180/1000</f>
        <v>972.18</v>
      </c>
      <c r="BE78" s="17"/>
      <c r="BF78" s="57">
        <f>1000000/1000</f>
        <v>1000</v>
      </c>
      <c r="BG78" s="57"/>
      <c r="BH78" s="21">
        <f>982530/1000</f>
        <v>982.53</v>
      </c>
      <c r="BI78" s="21"/>
      <c r="BJ78" s="21" t="s">
        <v>63</v>
      </c>
      <c r="BK78" s="21"/>
      <c r="BL78" s="21">
        <f>1000000/1000</f>
        <v>1000</v>
      </c>
      <c r="BM78" s="21"/>
      <c r="BN78" s="21">
        <f>1000000/1000</f>
        <v>1000</v>
      </c>
      <c r="BO78" s="21"/>
      <c r="BP78" s="21">
        <f>998000/1000</f>
        <v>998</v>
      </c>
      <c r="BQ78" s="21"/>
      <c r="BR78" s="21">
        <f>996114/1000</f>
        <v>996.114</v>
      </c>
      <c r="BS78" s="21"/>
      <c r="BT78" s="21">
        <f>944182/1000</f>
        <v>944.182</v>
      </c>
      <c r="BU78" s="21"/>
    </row>
    <row r="79" spans="2:73" ht="12.75">
      <c r="B79" s="13" t="s">
        <v>34</v>
      </c>
      <c r="C79" s="13"/>
      <c r="D79" s="13"/>
      <c r="E79" s="13"/>
      <c r="F79" s="21" t="s">
        <v>63</v>
      </c>
      <c r="G79" s="16"/>
      <c r="H79" s="21" t="s">
        <v>63</v>
      </c>
      <c r="I79" s="16"/>
      <c r="J79" s="21" t="s">
        <v>63</v>
      </c>
      <c r="K79" s="16"/>
      <c r="L79" s="21" t="s">
        <v>63</v>
      </c>
      <c r="M79" s="16"/>
      <c r="N79" s="21" t="s">
        <v>63</v>
      </c>
      <c r="O79" s="16"/>
      <c r="P79" s="21" t="s">
        <v>63</v>
      </c>
      <c r="Q79" s="16"/>
      <c r="R79" s="21" t="s">
        <v>63</v>
      </c>
      <c r="S79" s="16"/>
      <c r="T79" s="21" t="s">
        <v>63</v>
      </c>
      <c r="U79" s="16"/>
      <c r="V79" s="21" t="s">
        <v>63</v>
      </c>
      <c r="W79" s="16"/>
      <c r="X79" s="21" t="s">
        <v>63</v>
      </c>
      <c r="Y79" s="16"/>
      <c r="Z79" s="21" t="s">
        <v>63</v>
      </c>
      <c r="AA79" s="16"/>
      <c r="AB79" s="21" t="s">
        <v>63</v>
      </c>
      <c r="AC79" s="16"/>
      <c r="AD79" s="16">
        <v>3000</v>
      </c>
      <c r="AE79" s="17" t="s">
        <v>161</v>
      </c>
      <c r="AF79" s="16">
        <v>4500</v>
      </c>
      <c r="AG79" s="16"/>
      <c r="AH79" s="16">
        <v>4000</v>
      </c>
      <c r="AI79" s="16"/>
      <c r="AJ79" s="16">
        <v>7000</v>
      </c>
      <c r="AK79" s="17"/>
      <c r="AL79" s="16">
        <v>8000</v>
      </c>
      <c r="AM79" s="16"/>
      <c r="AN79" s="16">
        <v>7000</v>
      </c>
      <c r="AO79" s="16"/>
      <c r="AP79" s="16">
        <v>7000</v>
      </c>
      <c r="AQ79" s="16"/>
      <c r="AR79" s="16">
        <v>3500</v>
      </c>
      <c r="AS79" s="16"/>
      <c r="AT79" s="16">
        <f>(3500000-44000)/1000</f>
        <v>3456</v>
      </c>
      <c r="AU79" s="16" t="s">
        <v>162</v>
      </c>
      <c r="AV79" s="16">
        <v>0</v>
      </c>
      <c r="AW79" s="17"/>
      <c r="AX79" s="19" t="s">
        <v>63</v>
      </c>
      <c r="AY79" s="17"/>
      <c r="AZ79" s="16"/>
      <c r="BA79" s="16"/>
      <c r="BB79" s="19" t="s">
        <v>63</v>
      </c>
      <c r="BC79" s="17"/>
      <c r="BD79" s="19" t="s">
        <v>63</v>
      </c>
      <c r="BE79" s="17"/>
      <c r="BF79" s="19" t="s">
        <v>63</v>
      </c>
      <c r="BG79" s="57"/>
      <c r="BH79" s="19" t="s">
        <v>63</v>
      </c>
      <c r="BI79" s="21"/>
      <c r="BJ79" s="21" t="s">
        <v>63</v>
      </c>
      <c r="BK79" s="21"/>
      <c r="BL79" s="19" t="s">
        <v>63</v>
      </c>
      <c r="BM79" s="21"/>
      <c r="BN79" s="19" t="s">
        <v>63</v>
      </c>
      <c r="BO79" s="21"/>
      <c r="BP79" s="19" t="s">
        <v>63</v>
      </c>
      <c r="BQ79" s="21"/>
      <c r="BR79" s="19" t="s">
        <v>63</v>
      </c>
      <c r="BS79" s="21"/>
      <c r="BT79" s="19" t="s">
        <v>63</v>
      </c>
      <c r="BU79" s="21"/>
    </row>
    <row r="80" spans="2:73" ht="12.75">
      <c r="B80" s="13" t="s">
        <v>35</v>
      </c>
      <c r="C80" s="13"/>
      <c r="D80" s="13"/>
      <c r="E80" s="13"/>
      <c r="F80" s="21" t="s">
        <v>63</v>
      </c>
      <c r="G80" s="16"/>
      <c r="H80" s="21" t="s">
        <v>63</v>
      </c>
      <c r="I80" s="16"/>
      <c r="J80" s="21" t="s">
        <v>63</v>
      </c>
      <c r="K80" s="16"/>
      <c r="L80" s="21" t="s">
        <v>63</v>
      </c>
      <c r="M80" s="16"/>
      <c r="N80" s="21" t="s">
        <v>63</v>
      </c>
      <c r="O80" s="16"/>
      <c r="P80" s="21" t="s">
        <v>63</v>
      </c>
      <c r="Q80" s="16"/>
      <c r="R80" s="21" t="s">
        <v>63</v>
      </c>
      <c r="S80" s="16"/>
      <c r="T80" s="21" t="s">
        <v>63</v>
      </c>
      <c r="U80" s="16"/>
      <c r="V80" s="21" t="s">
        <v>63</v>
      </c>
      <c r="W80" s="16"/>
      <c r="X80" s="21" t="s">
        <v>63</v>
      </c>
      <c r="Y80" s="16"/>
      <c r="Z80" s="21" t="s">
        <v>63</v>
      </c>
      <c r="AA80" s="16"/>
      <c r="AB80" s="21" t="s">
        <v>63</v>
      </c>
      <c r="AC80" s="16"/>
      <c r="AD80" s="16">
        <v>50000</v>
      </c>
      <c r="AE80" s="16"/>
      <c r="AF80" s="16">
        <v>122500</v>
      </c>
      <c r="AG80" s="16"/>
      <c r="AH80" s="16">
        <v>170000</v>
      </c>
      <c r="AI80" s="16"/>
      <c r="AJ80" s="16">
        <v>200000</v>
      </c>
      <c r="AK80" s="16"/>
      <c r="AL80" s="16">
        <v>200000</v>
      </c>
      <c r="AM80" s="16"/>
      <c r="AN80" s="16">
        <v>125000</v>
      </c>
      <c r="AO80" s="16"/>
      <c r="AP80" s="16">
        <v>55000</v>
      </c>
      <c r="AQ80" s="16"/>
      <c r="AR80" s="16">
        <v>0</v>
      </c>
      <c r="AS80" s="16"/>
      <c r="AT80" s="16">
        <v>0</v>
      </c>
      <c r="AU80" s="16"/>
      <c r="AV80" s="19" t="s">
        <v>63</v>
      </c>
      <c r="AW80" s="17"/>
      <c r="AX80" s="19" t="s">
        <v>63</v>
      </c>
      <c r="AY80" s="19"/>
      <c r="AZ80" s="16"/>
      <c r="BA80" s="16"/>
      <c r="BB80" s="19" t="s">
        <v>63</v>
      </c>
      <c r="BC80" s="17"/>
      <c r="BD80" s="19" t="s">
        <v>63</v>
      </c>
      <c r="BE80" s="17"/>
      <c r="BF80" s="19" t="s">
        <v>63</v>
      </c>
      <c r="BG80" s="57"/>
      <c r="BH80" s="19" t="s">
        <v>63</v>
      </c>
      <c r="BI80" s="21"/>
      <c r="BJ80" s="21" t="s">
        <v>63</v>
      </c>
      <c r="BK80" s="21"/>
      <c r="BL80" s="19" t="s">
        <v>63</v>
      </c>
      <c r="BM80" s="21"/>
      <c r="BN80" s="19" t="s">
        <v>63</v>
      </c>
      <c r="BO80" s="21"/>
      <c r="BP80" s="19" t="s">
        <v>63</v>
      </c>
      <c r="BQ80" s="21"/>
      <c r="BR80" s="19" t="s">
        <v>63</v>
      </c>
      <c r="BS80" s="21"/>
      <c r="BT80" s="19" t="s">
        <v>63</v>
      </c>
      <c r="BU80" s="21"/>
    </row>
    <row r="81" spans="2:73" ht="12.75">
      <c r="B81" s="13" t="s">
        <v>36</v>
      </c>
      <c r="C81" s="13"/>
      <c r="D81" s="13"/>
      <c r="E81" s="13"/>
      <c r="F81" s="21" t="s">
        <v>63</v>
      </c>
      <c r="G81" s="16"/>
      <c r="H81" s="21" t="s">
        <v>63</v>
      </c>
      <c r="I81" s="16"/>
      <c r="J81" s="21" t="s">
        <v>63</v>
      </c>
      <c r="K81" s="16"/>
      <c r="L81" s="21" t="s">
        <v>63</v>
      </c>
      <c r="M81" s="16"/>
      <c r="N81" s="21" t="s">
        <v>63</v>
      </c>
      <c r="O81" s="16"/>
      <c r="P81" s="21" t="s">
        <v>63</v>
      </c>
      <c r="Q81" s="16"/>
      <c r="R81" s="21" t="s">
        <v>63</v>
      </c>
      <c r="S81" s="16"/>
      <c r="T81" s="21" t="s">
        <v>63</v>
      </c>
      <c r="U81" s="16"/>
      <c r="V81" s="21" t="s">
        <v>63</v>
      </c>
      <c r="W81" s="16"/>
      <c r="X81" s="21" t="s">
        <v>63</v>
      </c>
      <c r="Y81" s="16"/>
      <c r="Z81" s="21" t="s">
        <v>63</v>
      </c>
      <c r="AA81" s="16"/>
      <c r="AB81" s="21" t="s">
        <v>63</v>
      </c>
      <c r="AC81" s="16"/>
      <c r="AD81" s="21" t="s">
        <v>63</v>
      </c>
      <c r="AE81" s="16"/>
      <c r="AF81" s="21" t="s">
        <v>63</v>
      </c>
      <c r="AG81" s="16"/>
      <c r="AH81" s="16">
        <v>2500</v>
      </c>
      <c r="AI81" s="16"/>
      <c r="AJ81" s="21" t="s">
        <v>63</v>
      </c>
      <c r="AK81" s="16"/>
      <c r="AL81" s="21" t="s">
        <v>63</v>
      </c>
      <c r="AM81" s="16"/>
      <c r="AN81" s="19" t="s">
        <v>63</v>
      </c>
      <c r="AO81" s="16"/>
      <c r="AP81" s="21" t="s">
        <v>63</v>
      </c>
      <c r="AQ81" s="16"/>
      <c r="AR81" s="21" t="s">
        <v>63</v>
      </c>
      <c r="AS81" s="16"/>
      <c r="AT81" s="21" t="s">
        <v>63</v>
      </c>
      <c r="AU81" s="16"/>
      <c r="AV81" s="21" t="s">
        <v>63</v>
      </c>
      <c r="AW81" s="16"/>
      <c r="AX81" s="19" t="s">
        <v>63</v>
      </c>
      <c r="AY81" s="17"/>
      <c r="AZ81" s="16"/>
      <c r="BA81" s="16"/>
      <c r="BB81" s="19" t="s">
        <v>63</v>
      </c>
      <c r="BC81" s="17"/>
      <c r="BD81" s="19" t="s">
        <v>63</v>
      </c>
      <c r="BE81" s="17"/>
      <c r="BF81" s="19" t="s">
        <v>63</v>
      </c>
      <c r="BG81" s="57"/>
      <c r="BH81" s="19" t="s">
        <v>63</v>
      </c>
      <c r="BI81" s="21"/>
      <c r="BJ81" s="21" t="s">
        <v>63</v>
      </c>
      <c r="BK81" s="21"/>
      <c r="BL81" s="19" t="s">
        <v>63</v>
      </c>
      <c r="BM81" s="21"/>
      <c r="BN81" s="19" t="s">
        <v>63</v>
      </c>
      <c r="BO81" s="21"/>
      <c r="BP81" s="19" t="s">
        <v>63</v>
      </c>
      <c r="BQ81" s="21"/>
      <c r="BR81" s="19" t="s">
        <v>63</v>
      </c>
      <c r="BS81" s="21"/>
      <c r="BT81" s="19" t="s">
        <v>63</v>
      </c>
      <c r="BU81" s="21"/>
    </row>
    <row r="82" spans="2:73" ht="12.75">
      <c r="B82" s="13" t="s">
        <v>37</v>
      </c>
      <c r="C82" s="13"/>
      <c r="D82" s="13"/>
      <c r="E82" s="13"/>
      <c r="F82" s="21" t="s">
        <v>63</v>
      </c>
      <c r="G82" s="16"/>
      <c r="H82" s="21" t="s">
        <v>63</v>
      </c>
      <c r="I82" s="16"/>
      <c r="J82" s="21" t="s">
        <v>63</v>
      </c>
      <c r="K82" s="16"/>
      <c r="L82" s="21" t="s">
        <v>63</v>
      </c>
      <c r="M82" s="16"/>
      <c r="N82" s="21" t="s">
        <v>63</v>
      </c>
      <c r="O82" s="16"/>
      <c r="P82" s="21" t="s">
        <v>63</v>
      </c>
      <c r="Q82" s="16"/>
      <c r="R82" s="21" t="s">
        <v>63</v>
      </c>
      <c r="S82" s="16"/>
      <c r="T82" s="21" t="s">
        <v>63</v>
      </c>
      <c r="U82" s="16"/>
      <c r="V82" s="21" t="s">
        <v>63</v>
      </c>
      <c r="W82" s="16"/>
      <c r="X82" s="21" t="s">
        <v>63</v>
      </c>
      <c r="Y82" s="16"/>
      <c r="Z82" s="21" t="s">
        <v>63</v>
      </c>
      <c r="AA82" s="16"/>
      <c r="AB82" s="16">
        <v>744</v>
      </c>
      <c r="AC82" s="16"/>
      <c r="AD82" s="16">
        <v>744</v>
      </c>
      <c r="AE82" s="16"/>
      <c r="AF82" s="16">
        <v>738</v>
      </c>
      <c r="AG82" s="16"/>
      <c r="AH82" s="16">
        <v>142</v>
      </c>
      <c r="AI82" s="16"/>
      <c r="AJ82" s="21" t="s">
        <v>63</v>
      </c>
      <c r="AK82" s="16"/>
      <c r="AL82" s="21" t="s">
        <v>63</v>
      </c>
      <c r="AM82" s="16"/>
      <c r="AN82" s="19" t="s">
        <v>63</v>
      </c>
      <c r="AO82" s="16"/>
      <c r="AP82" s="21" t="s">
        <v>63</v>
      </c>
      <c r="AQ82" s="16"/>
      <c r="AR82" s="21" t="s">
        <v>63</v>
      </c>
      <c r="AS82" s="16"/>
      <c r="AT82" s="21" t="s">
        <v>63</v>
      </c>
      <c r="AU82" s="16"/>
      <c r="AV82" s="21" t="s">
        <v>63</v>
      </c>
      <c r="AW82" s="16"/>
      <c r="AX82" s="19" t="s">
        <v>63</v>
      </c>
      <c r="AY82" s="17"/>
      <c r="AZ82" s="16"/>
      <c r="BA82" s="16"/>
      <c r="BB82" s="19" t="s">
        <v>63</v>
      </c>
      <c r="BC82" s="17"/>
      <c r="BD82" s="19" t="s">
        <v>63</v>
      </c>
      <c r="BE82" s="17"/>
      <c r="BF82" s="19" t="s">
        <v>63</v>
      </c>
      <c r="BG82" s="57"/>
      <c r="BH82" s="19" t="s">
        <v>63</v>
      </c>
      <c r="BI82" s="21"/>
      <c r="BJ82" s="21" t="s">
        <v>63</v>
      </c>
      <c r="BK82" s="21"/>
      <c r="BL82" s="19" t="s">
        <v>63</v>
      </c>
      <c r="BM82" s="21"/>
      <c r="BN82" s="19" t="s">
        <v>63</v>
      </c>
      <c r="BO82" s="21"/>
      <c r="BP82" s="19" t="s">
        <v>63</v>
      </c>
      <c r="BQ82" s="21"/>
      <c r="BR82" s="19" t="s">
        <v>63</v>
      </c>
      <c r="BS82" s="21"/>
      <c r="BT82" s="19" t="s">
        <v>63</v>
      </c>
      <c r="BU82" s="21"/>
    </row>
    <row r="83" spans="2:73" ht="12.75">
      <c r="B83" s="13" t="s">
        <v>38</v>
      </c>
      <c r="C83" s="13"/>
      <c r="D83" s="13"/>
      <c r="E83" s="13"/>
      <c r="F83" s="21" t="s">
        <v>63</v>
      </c>
      <c r="G83" s="16"/>
      <c r="H83" s="21" t="s">
        <v>63</v>
      </c>
      <c r="I83" s="16"/>
      <c r="J83" s="21" t="s">
        <v>63</v>
      </c>
      <c r="K83" s="16"/>
      <c r="L83" s="21" t="s">
        <v>63</v>
      </c>
      <c r="M83" s="16"/>
      <c r="N83" s="21" t="s">
        <v>63</v>
      </c>
      <c r="O83" s="16"/>
      <c r="P83" s="21" t="s">
        <v>63</v>
      </c>
      <c r="Q83" s="16"/>
      <c r="R83" s="21" t="s">
        <v>63</v>
      </c>
      <c r="S83" s="16"/>
      <c r="T83" s="21" t="s">
        <v>63</v>
      </c>
      <c r="U83" s="16"/>
      <c r="V83" s="21" t="s">
        <v>63</v>
      </c>
      <c r="W83" s="16"/>
      <c r="X83" s="21" t="s">
        <v>63</v>
      </c>
      <c r="Y83" s="16"/>
      <c r="Z83" s="21" t="s">
        <v>63</v>
      </c>
      <c r="AA83" s="16"/>
      <c r="AB83" s="16">
        <v>744</v>
      </c>
      <c r="AC83" s="16"/>
      <c r="AD83" s="16">
        <v>1122</v>
      </c>
      <c r="AE83" s="16"/>
      <c r="AF83" s="21" t="s">
        <v>63</v>
      </c>
      <c r="AG83" s="16"/>
      <c r="AH83" s="21" t="s">
        <v>63</v>
      </c>
      <c r="AI83" s="16"/>
      <c r="AJ83" s="21" t="s">
        <v>63</v>
      </c>
      <c r="AK83" s="16"/>
      <c r="AL83" s="21" t="s">
        <v>63</v>
      </c>
      <c r="AM83" s="16"/>
      <c r="AN83" s="19" t="s">
        <v>63</v>
      </c>
      <c r="AO83" s="16"/>
      <c r="AP83" s="21" t="s">
        <v>63</v>
      </c>
      <c r="AQ83" s="16"/>
      <c r="AR83" s="21" t="s">
        <v>63</v>
      </c>
      <c r="AS83" s="16"/>
      <c r="AT83" s="21" t="s">
        <v>63</v>
      </c>
      <c r="AU83" s="16"/>
      <c r="AV83" s="21" t="s">
        <v>63</v>
      </c>
      <c r="AW83" s="16"/>
      <c r="AX83" s="19" t="s">
        <v>63</v>
      </c>
      <c r="AY83" s="17"/>
      <c r="AZ83" s="16"/>
      <c r="BA83" s="16"/>
      <c r="BB83" s="19" t="s">
        <v>63</v>
      </c>
      <c r="BC83" s="17"/>
      <c r="BD83" s="19" t="s">
        <v>63</v>
      </c>
      <c r="BE83" s="17"/>
      <c r="BF83" s="19" t="s">
        <v>63</v>
      </c>
      <c r="BG83" s="57"/>
      <c r="BH83" s="19" t="s">
        <v>63</v>
      </c>
      <c r="BI83" s="21"/>
      <c r="BJ83" s="21" t="s">
        <v>63</v>
      </c>
      <c r="BK83" s="21"/>
      <c r="BL83" s="19" t="s">
        <v>63</v>
      </c>
      <c r="BM83" s="21"/>
      <c r="BN83" s="19" t="s">
        <v>63</v>
      </c>
      <c r="BO83" s="21"/>
      <c r="BP83" s="19" t="s">
        <v>63</v>
      </c>
      <c r="BQ83" s="21"/>
      <c r="BR83" s="19" t="s">
        <v>63</v>
      </c>
      <c r="BS83" s="21"/>
      <c r="BT83" s="19" t="s">
        <v>63</v>
      </c>
      <c r="BU83" s="21"/>
    </row>
    <row r="84" spans="1:73" ht="12.75">
      <c r="A84" s="23" t="s">
        <v>225</v>
      </c>
      <c r="B84" s="13"/>
      <c r="C84" s="13"/>
      <c r="D84" s="13"/>
      <c r="E84" s="13"/>
      <c r="F84" s="45" t="s">
        <v>63</v>
      </c>
      <c r="G84" s="16"/>
      <c r="H84" s="45" t="s">
        <v>63</v>
      </c>
      <c r="I84" s="16"/>
      <c r="J84" s="45" t="s">
        <v>63</v>
      </c>
      <c r="K84" s="16"/>
      <c r="L84" s="45" t="s">
        <v>63</v>
      </c>
      <c r="M84" s="16"/>
      <c r="N84" s="45" t="s">
        <v>63</v>
      </c>
      <c r="O84" s="16"/>
      <c r="P84" s="45" t="s">
        <v>63</v>
      </c>
      <c r="Q84" s="16"/>
      <c r="R84" s="45" t="s">
        <v>63</v>
      </c>
      <c r="S84" s="16"/>
      <c r="T84" s="45" t="s">
        <v>63</v>
      </c>
      <c r="U84" s="16"/>
      <c r="V84" s="45" t="s">
        <v>63</v>
      </c>
      <c r="W84" s="16"/>
      <c r="X84" s="45" t="s">
        <v>63</v>
      </c>
      <c r="Y84" s="16"/>
      <c r="Z84" s="45" t="s">
        <v>63</v>
      </c>
      <c r="AA84" s="16"/>
      <c r="AB84" s="45" t="s">
        <v>63</v>
      </c>
      <c r="AC84" s="16"/>
      <c r="AD84" s="45" t="s">
        <v>63</v>
      </c>
      <c r="AE84" s="16"/>
      <c r="AF84" s="45" t="s">
        <v>63</v>
      </c>
      <c r="AG84" s="16"/>
      <c r="AH84" s="45" t="s">
        <v>63</v>
      </c>
      <c r="AI84" s="16"/>
      <c r="AJ84" s="45" t="s">
        <v>63</v>
      </c>
      <c r="AK84" s="45" t="s">
        <v>63</v>
      </c>
      <c r="AL84" s="45" t="s">
        <v>63</v>
      </c>
      <c r="AM84" s="16"/>
      <c r="AN84" s="45" t="s">
        <v>63</v>
      </c>
      <c r="AO84" s="16"/>
      <c r="AP84" s="45" t="s">
        <v>63</v>
      </c>
      <c r="AQ84" s="16"/>
      <c r="AR84" s="45" t="s">
        <v>63</v>
      </c>
      <c r="AS84" s="16"/>
      <c r="AT84" s="45" t="s">
        <v>63</v>
      </c>
      <c r="AU84" s="16"/>
      <c r="AV84" s="45" t="s">
        <v>63</v>
      </c>
      <c r="AW84" s="16"/>
      <c r="AX84" s="45" t="s">
        <v>63</v>
      </c>
      <c r="AY84" s="17"/>
      <c r="AZ84" s="16"/>
      <c r="BA84" s="16"/>
      <c r="BB84" s="45" t="s">
        <v>63</v>
      </c>
      <c r="BC84" s="17"/>
      <c r="BD84" s="45" t="s">
        <v>63</v>
      </c>
      <c r="BE84" s="17"/>
      <c r="BF84" s="45" t="s">
        <v>63</v>
      </c>
      <c r="BG84" s="57"/>
      <c r="BH84" s="45" t="s">
        <v>63</v>
      </c>
      <c r="BI84" s="21"/>
      <c r="BJ84" s="45" t="s">
        <v>63</v>
      </c>
      <c r="BK84" s="21"/>
      <c r="BL84" s="45" t="s">
        <v>63</v>
      </c>
      <c r="BM84" s="21"/>
      <c r="BN84" s="45" t="s">
        <v>63</v>
      </c>
      <c r="BO84" s="21"/>
      <c r="BP84" s="46">
        <f>500000000/1000</f>
        <v>500000</v>
      </c>
      <c r="BQ84" s="17" t="s">
        <v>161</v>
      </c>
      <c r="BR84" s="46">
        <f>500000000/1000</f>
        <v>500000</v>
      </c>
      <c r="BS84" s="17"/>
      <c r="BT84" s="46">
        <f>474500000/1000</f>
        <v>474500</v>
      </c>
      <c r="BU84" s="17"/>
    </row>
    <row r="85" spans="1:73" ht="12.75">
      <c r="A85" s="20" t="s">
        <v>215</v>
      </c>
      <c r="B85" s="13"/>
      <c r="C85" s="13"/>
      <c r="D85" s="13"/>
      <c r="E85" s="13"/>
      <c r="F85" s="45" t="s">
        <v>63</v>
      </c>
      <c r="G85" s="16"/>
      <c r="H85" s="45" t="s">
        <v>63</v>
      </c>
      <c r="I85" s="16"/>
      <c r="J85" s="45" t="s">
        <v>63</v>
      </c>
      <c r="K85" s="16"/>
      <c r="L85" s="45" t="s">
        <v>63</v>
      </c>
      <c r="M85" s="16"/>
      <c r="N85" s="45" t="s">
        <v>63</v>
      </c>
      <c r="O85" s="16"/>
      <c r="P85" s="45" t="s">
        <v>63</v>
      </c>
      <c r="Q85" s="16"/>
      <c r="R85" s="45" t="s">
        <v>63</v>
      </c>
      <c r="S85" s="16"/>
      <c r="T85" s="45" t="s">
        <v>63</v>
      </c>
      <c r="U85" s="16"/>
      <c r="V85" s="45" t="s">
        <v>63</v>
      </c>
      <c r="W85" s="16"/>
      <c r="X85" s="45" t="s">
        <v>63</v>
      </c>
      <c r="Y85" s="16"/>
      <c r="Z85" s="45" t="s">
        <v>63</v>
      </c>
      <c r="AA85" s="16"/>
      <c r="AB85" s="45" t="s">
        <v>63</v>
      </c>
      <c r="AC85" s="16"/>
      <c r="AD85" s="45" t="s">
        <v>63</v>
      </c>
      <c r="AE85" s="16"/>
      <c r="AF85" s="45" t="s">
        <v>63</v>
      </c>
      <c r="AG85" s="16"/>
      <c r="AH85" s="45" t="s">
        <v>63</v>
      </c>
      <c r="AI85" s="16"/>
      <c r="AJ85" s="45" t="s">
        <v>63</v>
      </c>
      <c r="AK85" s="45" t="s">
        <v>63</v>
      </c>
      <c r="AL85" s="45" t="s">
        <v>63</v>
      </c>
      <c r="AM85" s="16"/>
      <c r="AN85" s="45" t="s">
        <v>63</v>
      </c>
      <c r="AO85" s="16"/>
      <c r="AP85" s="45" t="s">
        <v>63</v>
      </c>
      <c r="AQ85" s="16"/>
      <c r="AR85" s="45" t="s">
        <v>63</v>
      </c>
      <c r="AS85" s="16"/>
      <c r="AT85" s="45" t="s">
        <v>63</v>
      </c>
      <c r="AU85" s="16"/>
      <c r="AV85" s="45" t="s">
        <v>63</v>
      </c>
      <c r="AW85" s="16"/>
      <c r="AX85" s="45" t="s">
        <v>63</v>
      </c>
      <c r="AY85" s="17"/>
      <c r="AZ85" s="16"/>
      <c r="BA85" s="16"/>
      <c r="BB85" s="45" t="s">
        <v>63</v>
      </c>
      <c r="BC85" s="17"/>
      <c r="BD85" s="45" t="s">
        <v>63</v>
      </c>
      <c r="BE85" s="17"/>
      <c r="BF85" s="45" t="s">
        <v>63</v>
      </c>
      <c r="BG85" s="57"/>
      <c r="BH85" s="45" t="s">
        <v>63</v>
      </c>
      <c r="BI85" s="21"/>
      <c r="BJ85" s="45" t="s">
        <v>63</v>
      </c>
      <c r="BK85" s="21"/>
      <c r="BL85" s="45" t="s">
        <v>63</v>
      </c>
      <c r="BM85" s="21"/>
      <c r="BN85" s="43">
        <f>BN86+BN87+BN88</f>
        <v>1680625.5</v>
      </c>
      <c r="BO85" s="45"/>
      <c r="BP85" s="43">
        <f>BP86+BP87+BP88</f>
        <v>1734150.4360000002</v>
      </c>
      <c r="BQ85" s="21"/>
      <c r="BR85" s="43">
        <f>BR86+BR87+BR88</f>
        <v>1712946.337</v>
      </c>
      <c r="BS85" s="21"/>
      <c r="BT85" s="43">
        <f>BT86+BT87+BT88</f>
        <v>1613872.025</v>
      </c>
      <c r="BU85" s="21"/>
    </row>
    <row r="86" spans="1:73" ht="12.75">
      <c r="A86" s="4" t="s">
        <v>216</v>
      </c>
      <c r="B86" s="13"/>
      <c r="C86" s="13"/>
      <c r="D86" s="13"/>
      <c r="E86" s="13"/>
      <c r="F86" s="45" t="s">
        <v>63</v>
      </c>
      <c r="G86" s="16"/>
      <c r="H86" s="45" t="s">
        <v>63</v>
      </c>
      <c r="I86" s="16"/>
      <c r="J86" s="45" t="s">
        <v>63</v>
      </c>
      <c r="K86" s="16"/>
      <c r="L86" s="45" t="s">
        <v>63</v>
      </c>
      <c r="M86" s="16"/>
      <c r="N86" s="45" t="s">
        <v>63</v>
      </c>
      <c r="O86" s="16"/>
      <c r="P86" s="45" t="s">
        <v>63</v>
      </c>
      <c r="Q86" s="16"/>
      <c r="R86" s="45" t="s">
        <v>63</v>
      </c>
      <c r="S86" s="16"/>
      <c r="T86" s="45" t="s">
        <v>63</v>
      </c>
      <c r="U86" s="16"/>
      <c r="V86" s="45" t="s">
        <v>63</v>
      </c>
      <c r="W86" s="16"/>
      <c r="X86" s="45" t="s">
        <v>63</v>
      </c>
      <c r="Y86" s="16"/>
      <c r="Z86" s="45" t="s">
        <v>63</v>
      </c>
      <c r="AA86" s="16"/>
      <c r="AB86" s="45" t="s">
        <v>63</v>
      </c>
      <c r="AC86" s="16"/>
      <c r="AD86" s="45" t="s">
        <v>63</v>
      </c>
      <c r="AE86" s="16"/>
      <c r="AF86" s="45" t="s">
        <v>63</v>
      </c>
      <c r="AG86" s="16"/>
      <c r="AH86" s="45" t="s">
        <v>63</v>
      </c>
      <c r="AI86" s="16"/>
      <c r="AJ86" s="45" t="s">
        <v>63</v>
      </c>
      <c r="AK86" s="45" t="s">
        <v>63</v>
      </c>
      <c r="AL86" s="45" t="s">
        <v>63</v>
      </c>
      <c r="AM86" s="16"/>
      <c r="AN86" s="45" t="s">
        <v>63</v>
      </c>
      <c r="AO86" s="16"/>
      <c r="AP86" s="45" t="s">
        <v>63</v>
      </c>
      <c r="AQ86" s="16"/>
      <c r="AR86" s="45" t="s">
        <v>63</v>
      </c>
      <c r="AS86" s="16"/>
      <c r="AT86" s="45" t="s">
        <v>63</v>
      </c>
      <c r="AU86" s="16"/>
      <c r="AV86" s="45" t="s">
        <v>63</v>
      </c>
      <c r="AW86" s="16"/>
      <c r="AX86" s="45" t="s">
        <v>63</v>
      </c>
      <c r="AY86" s="17"/>
      <c r="AZ86" s="16"/>
      <c r="BA86" s="16"/>
      <c r="BB86" s="45" t="s">
        <v>63</v>
      </c>
      <c r="BC86" s="17"/>
      <c r="BD86" s="45" t="s">
        <v>63</v>
      </c>
      <c r="BE86" s="17"/>
      <c r="BF86" s="45" t="s">
        <v>63</v>
      </c>
      <c r="BG86" s="57"/>
      <c r="BH86" s="45" t="s">
        <v>63</v>
      </c>
      <c r="BI86" s="21"/>
      <c r="BJ86" s="45" t="s">
        <v>63</v>
      </c>
      <c r="BK86" s="21"/>
      <c r="BL86" s="45" t="s">
        <v>63</v>
      </c>
      <c r="BM86" s="21"/>
      <c r="BN86" s="16">
        <f>1572833000/1000</f>
        <v>1572833</v>
      </c>
      <c r="BO86" s="17" t="s">
        <v>159</v>
      </c>
      <c r="BP86" s="16">
        <f>(1570931980+2237336+26197500+851000)/1000</f>
        <v>1600217.816</v>
      </c>
      <c r="BQ86" s="17" t="s">
        <v>233</v>
      </c>
      <c r="BR86" s="16">
        <f>1579077827/1000</f>
        <v>1579077.827</v>
      </c>
      <c r="BS86" s="17" t="s">
        <v>160</v>
      </c>
      <c r="BT86" s="16">
        <f>1487005642/1000</f>
        <v>1487005.642</v>
      </c>
      <c r="BU86" s="17"/>
    </row>
    <row r="87" spans="1:73" ht="12.75">
      <c r="A87" s="4" t="s">
        <v>217</v>
      </c>
      <c r="B87" s="13"/>
      <c r="C87" s="13"/>
      <c r="D87" s="13"/>
      <c r="E87" s="13"/>
      <c r="F87" s="45" t="s">
        <v>63</v>
      </c>
      <c r="G87" s="16"/>
      <c r="H87" s="45" t="s">
        <v>63</v>
      </c>
      <c r="I87" s="16"/>
      <c r="J87" s="45" t="s">
        <v>63</v>
      </c>
      <c r="K87" s="16"/>
      <c r="L87" s="45" t="s">
        <v>63</v>
      </c>
      <c r="M87" s="16"/>
      <c r="N87" s="45" t="s">
        <v>63</v>
      </c>
      <c r="O87" s="16"/>
      <c r="P87" s="45" t="s">
        <v>63</v>
      </c>
      <c r="Q87" s="16"/>
      <c r="R87" s="45" t="s">
        <v>63</v>
      </c>
      <c r="S87" s="16"/>
      <c r="T87" s="45" t="s">
        <v>63</v>
      </c>
      <c r="U87" s="16"/>
      <c r="V87" s="45" t="s">
        <v>63</v>
      </c>
      <c r="W87" s="16"/>
      <c r="X87" s="45" t="s">
        <v>63</v>
      </c>
      <c r="Y87" s="16"/>
      <c r="Z87" s="45" t="s">
        <v>63</v>
      </c>
      <c r="AA87" s="16"/>
      <c r="AB87" s="45" t="s">
        <v>63</v>
      </c>
      <c r="AC87" s="16"/>
      <c r="AD87" s="45" t="s">
        <v>63</v>
      </c>
      <c r="AE87" s="16"/>
      <c r="AF87" s="45" t="s">
        <v>63</v>
      </c>
      <c r="AG87" s="16"/>
      <c r="AH87" s="45" t="s">
        <v>63</v>
      </c>
      <c r="AI87" s="16"/>
      <c r="AJ87" s="45" t="s">
        <v>63</v>
      </c>
      <c r="AK87" s="45" t="s">
        <v>63</v>
      </c>
      <c r="AL87" s="45" t="s">
        <v>63</v>
      </c>
      <c r="AM87" s="16"/>
      <c r="AN87" s="45" t="s">
        <v>63</v>
      </c>
      <c r="AO87" s="16"/>
      <c r="AP87" s="45" t="s">
        <v>63</v>
      </c>
      <c r="AQ87" s="16"/>
      <c r="AR87" s="45" t="s">
        <v>63</v>
      </c>
      <c r="AS87" s="16"/>
      <c r="AT87" s="45" t="s">
        <v>63</v>
      </c>
      <c r="AU87" s="16"/>
      <c r="AV87" s="45" t="s">
        <v>63</v>
      </c>
      <c r="AW87" s="16"/>
      <c r="AX87" s="45" t="s">
        <v>63</v>
      </c>
      <c r="AY87" s="17"/>
      <c r="AZ87" s="16"/>
      <c r="BA87" s="16"/>
      <c r="BB87" s="45" t="s">
        <v>63</v>
      </c>
      <c r="BC87" s="17"/>
      <c r="BD87" s="45" t="s">
        <v>63</v>
      </c>
      <c r="BE87" s="17"/>
      <c r="BF87" s="45" t="s">
        <v>63</v>
      </c>
      <c r="BG87" s="57"/>
      <c r="BH87" s="45" t="s">
        <v>63</v>
      </c>
      <c r="BI87" s="21"/>
      <c r="BJ87" s="45" t="s">
        <v>63</v>
      </c>
      <c r="BK87" s="21"/>
      <c r="BL87" s="45" t="s">
        <v>63</v>
      </c>
      <c r="BM87" s="21"/>
      <c r="BN87" s="16">
        <f>(99800000+5000000-26197500)/1000</f>
        <v>78602.5</v>
      </c>
      <c r="BO87" s="17" t="s">
        <v>219</v>
      </c>
      <c r="BP87" s="16">
        <f>104801000/1000</f>
        <v>104801</v>
      </c>
      <c r="BQ87" s="17" t="s">
        <v>159</v>
      </c>
      <c r="BR87" s="16">
        <f>104791569/1000</f>
        <v>104791.569</v>
      </c>
      <c r="BS87" s="17"/>
      <c r="BT87" s="16">
        <f>99310341/1000</f>
        <v>99310.341</v>
      </c>
      <c r="BU87" s="17"/>
    </row>
    <row r="88" spans="1:73" ht="12.75">
      <c r="A88" s="4" t="s">
        <v>218</v>
      </c>
      <c r="B88" s="13"/>
      <c r="C88" s="13"/>
      <c r="D88" s="13"/>
      <c r="E88" s="13"/>
      <c r="F88" s="45" t="s">
        <v>63</v>
      </c>
      <c r="G88" s="16"/>
      <c r="H88" s="45" t="s">
        <v>63</v>
      </c>
      <c r="I88" s="16"/>
      <c r="J88" s="45" t="s">
        <v>63</v>
      </c>
      <c r="K88" s="16"/>
      <c r="L88" s="45" t="s">
        <v>63</v>
      </c>
      <c r="M88" s="16"/>
      <c r="N88" s="45" t="s">
        <v>63</v>
      </c>
      <c r="O88" s="16"/>
      <c r="P88" s="45" t="s">
        <v>63</v>
      </c>
      <c r="Q88" s="16"/>
      <c r="R88" s="45" t="s">
        <v>63</v>
      </c>
      <c r="S88" s="16"/>
      <c r="T88" s="45" t="s">
        <v>63</v>
      </c>
      <c r="U88" s="16"/>
      <c r="V88" s="45" t="s">
        <v>63</v>
      </c>
      <c r="W88" s="16"/>
      <c r="X88" s="45" t="s">
        <v>63</v>
      </c>
      <c r="Y88" s="16"/>
      <c r="Z88" s="45" t="s">
        <v>63</v>
      </c>
      <c r="AA88" s="16"/>
      <c r="AB88" s="45" t="s">
        <v>63</v>
      </c>
      <c r="AC88" s="16"/>
      <c r="AD88" s="45" t="s">
        <v>63</v>
      </c>
      <c r="AE88" s="16"/>
      <c r="AF88" s="45" t="s">
        <v>63</v>
      </c>
      <c r="AG88" s="16"/>
      <c r="AH88" s="45" t="s">
        <v>63</v>
      </c>
      <c r="AI88" s="16"/>
      <c r="AJ88" s="45" t="s">
        <v>63</v>
      </c>
      <c r="AK88" s="45" t="s">
        <v>63</v>
      </c>
      <c r="AL88" s="45" t="s">
        <v>63</v>
      </c>
      <c r="AM88" s="16"/>
      <c r="AN88" s="45" t="s">
        <v>63</v>
      </c>
      <c r="AO88" s="16"/>
      <c r="AP88" s="45" t="s">
        <v>63</v>
      </c>
      <c r="AQ88" s="16"/>
      <c r="AR88" s="45" t="s">
        <v>63</v>
      </c>
      <c r="AS88" s="16"/>
      <c r="AT88" s="45" t="s">
        <v>63</v>
      </c>
      <c r="AU88" s="16"/>
      <c r="AV88" s="45" t="s">
        <v>63</v>
      </c>
      <c r="AW88" s="16"/>
      <c r="AX88" s="45" t="s">
        <v>63</v>
      </c>
      <c r="AY88" s="17"/>
      <c r="AZ88" s="16"/>
      <c r="BA88" s="16"/>
      <c r="BB88" s="45" t="s">
        <v>63</v>
      </c>
      <c r="BC88" s="17"/>
      <c r="BD88" s="45" t="s">
        <v>63</v>
      </c>
      <c r="BE88" s="17"/>
      <c r="BF88" s="45" t="s">
        <v>63</v>
      </c>
      <c r="BG88" s="57"/>
      <c r="BH88" s="45" t="s">
        <v>63</v>
      </c>
      <c r="BI88" s="21"/>
      <c r="BJ88" s="45" t="s">
        <v>63</v>
      </c>
      <c r="BK88" s="21"/>
      <c r="BL88" s="45" t="s">
        <v>63</v>
      </c>
      <c r="BM88" s="21"/>
      <c r="BN88" s="16">
        <f>29190000/1000</f>
        <v>29190</v>
      </c>
      <c r="BO88" s="21"/>
      <c r="BP88" s="16">
        <f>29131620/1000</f>
        <v>29131.62</v>
      </c>
      <c r="BQ88" s="21"/>
      <c r="BR88" s="16">
        <f>29076941/1000</f>
        <v>29076.941</v>
      </c>
      <c r="BS88" s="21"/>
      <c r="BT88" s="16">
        <f>27556042/1000</f>
        <v>27556.042</v>
      </c>
      <c r="BU88" s="21"/>
    </row>
    <row r="89" spans="1:73" ht="18" customHeight="1">
      <c r="A89" s="20" t="s">
        <v>39</v>
      </c>
      <c r="B89" s="13"/>
      <c r="C89" s="13"/>
      <c r="D89" s="13"/>
      <c r="E89" s="13"/>
      <c r="F89" s="45" t="s">
        <v>63</v>
      </c>
      <c r="G89" s="43"/>
      <c r="H89" s="45" t="s">
        <v>63</v>
      </c>
      <c r="I89" s="43"/>
      <c r="J89" s="45" t="s">
        <v>63</v>
      </c>
      <c r="K89" s="43"/>
      <c r="L89" s="45" t="s">
        <v>63</v>
      </c>
      <c r="M89" s="43"/>
      <c r="N89" s="45" t="s">
        <v>63</v>
      </c>
      <c r="O89" s="43"/>
      <c r="P89" s="45" t="s">
        <v>63</v>
      </c>
      <c r="Q89" s="43"/>
      <c r="R89" s="45" t="s">
        <v>63</v>
      </c>
      <c r="S89" s="43"/>
      <c r="T89" s="45" t="s">
        <v>63</v>
      </c>
      <c r="U89" s="43"/>
      <c r="V89" s="45" t="s">
        <v>63</v>
      </c>
      <c r="W89" s="43"/>
      <c r="X89" s="45" t="s">
        <v>63</v>
      </c>
      <c r="Y89" s="43"/>
      <c r="Z89" s="45" t="s">
        <v>63</v>
      </c>
      <c r="AA89" s="43"/>
      <c r="AB89" s="45" t="s">
        <v>63</v>
      </c>
      <c r="AC89" s="43"/>
      <c r="AD89" s="45" t="s">
        <v>63</v>
      </c>
      <c r="AE89" s="43"/>
      <c r="AF89" s="45" t="s">
        <v>63</v>
      </c>
      <c r="AG89" s="43"/>
      <c r="AH89" s="45" t="s">
        <v>63</v>
      </c>
      <c r="AI89" s="43"/>
      <c r="AJ89" s="46" t="s">
        <v>63</v>
      </c>
      <c r="AK89" s="43"/>
      <c r="AL89" s="43">
        <v>1409038</v>
      </c>
      <c r="AM89" s="18" t="s">
        <v>161</v>
      </c>
      <c r="AN89" s="43">
        <v>1300810</v>
      </c>
      <c r="AO89" s="18" t="s">
        <v>164</v>
      </c>
      <c r="AP89" s="45" t="s">
        <v>63</v>
      </c>
      <c r="AQ89" s="43"/>
      <c r="AR89" s="45" t="s">
        <v>63</v>
      </c>
      <c r="AS89" s="43"/>
      <c r="AT89" s="45" t="s">
        <v>63</v>
      </c>
      <c r="AU89" s="43"/>
      <c r="AV89" s="45" t="s">
        <v>63</v>
      </c>
      <c r="AW89" s="43"/>
      <c r="AX89" s="46" t="s">
        <v>63</v>
      </c>
      <c r="AY89" s="47"/>
      <c r="AZ89" s="16"/>
      <c r="BA89" s="18"/>
      <c r="BB89" s="46" t="s">
        <v>63</v>
      </c>
      <c r="BC89" s="47"/>
      <c r="BD89" s="46" t="s">
        <v>63</v>
      </c>
      <c r="BE89" s="47"/>
      <c r="BF89" s="46" t="s">
        <v>63</v>
      </c>
      <c r="BG89" s="57"/>
      <c r="BH89" s="46" t="s">
        <v>63</v>
      </c>
      <c r="BI89" s="21"/>
      <c r="BJ89" s="21" t="s">
        <v>63</v>
      </c>
      <c r="BK89" s="21"/>
      <c r="BL89" s="46" t="s">
        <v>63</v>
      </c>
      <c r="BM89" s="21"/>
      <c r="BN89" s="46" t="s">
        <v>63</v>
      </c>
      <c r="BO89" s="21"/>
      <c r="BP89" s="46" t="s">
        <v>63</v>
      </c>
      <c r="BQ89" s="21"/>
      <c r="BR89" s="46" t="s">
        <v>63</v>
      </c>
      <c r="BS89" s="21"/>
      <c r="BT89" s="46" t="s">
        <v>63</v>
      </c>
      <c r="BU89" s="21"/>
    </row>
    <row r="90" spans="1:73" ht="18" customHeight="1">
      <c r="A90" s="20" t="s">
        <v>40</v>
      </c>
      <c r="B90" s="13"/>
      <c r="C90" s="13"/>
      <c r="D90" s="11"/>
      <c r="E90" s="13"/>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7"/>
      <c r="AX90" s="16"/>
      <c r="AY90" s="17"/>
      <c r="AZ90" s="16"/>
      <c r="BA90" s="16"/>
      <c r="BB90" s="16"/>
      <c r="BC90" s="17"/>
      <c r="BD90" s="16"/>
      <c r="BE90" s="17"/>
      <c r="BF90" s="57"/>
      <c r="BG90" s="57"/>
      <c r="BH90" s="21"/>
      <c r="BI90" s="21"/>
      <c r="BJ90" s="21"/>
      <c r="BK90" s="21"/>
      <c r="BL90" s="21"/>
      <c r="BM90" s="21"/>
      <c r="BN90" s="21"/>
      <c r="BO90" s="21"/>
      <c r="BP90" s="21"/>
      <c r="BQ90" s="21"/>
      <c r="BR90" s="21"/>
      <c r="BS90" s="21"/>
      <c r="BT90" s="21"/>
      <c r="BU90" s="21"/>
    </row>
    <row r="91" spans="1:73" ht="12.75">
      <c r="A91" s="15" t="s">
        <v>41</v>
      </c>
      <c r="B91" s="13"/>
      <c r="C91" s="13"/>
      <c r="D91" s="13"/>
      <c r="E91" s="13"/>
      <c r="F91" s="43">
        <f>F92+F93</f>
        <v>317300</v>
      </c>
      <c r="G91" s="43"/>
      <c r="H91" s="43">
        <f>H92+H93</f>
        <v>0</v>
      </c>
      <c r="I91" s="43"/>
      <c r="J91" s="43">
        <f>J92+J93</f>
        <v>317300</v>
      </c>
      <c r="K91" s="43"/>
      <c r="L91" s="43">
        <f>L92+L93</f>
        <v>326000</v>
      </c>
      <c r="M91" s="43"/>
      <c r="N91" s="43">
        <f>N92+N93</f>
        <v>312002</v>
      </c>
      <c r="O91" s="43"/>
      <c r="P91" s="43">
        <f>P92+P93</f>
        <v>336000</v>
      </c>
      <c r="Q91" s="43"/>
      <c r="R91" s="43">
        <f>R92+R93</f>
        <v>331260</v>
      </c>
      <c r="S91" s="43"/>
      <c r="T91" s="43">
        <f>T92+T93</f>
        <v>343824</v>
      </c>
      <c r="U91" s="43"/>
      <c r="V91" s="43">
        <f>V92+V93</f>
        <v>367013</v>
      </c>
      <c r="W91" s="43"/>
      <c r="X91" s="43">
        <f>X92+X93</f>
        <v>390355</v>
      </c>
      <c r="Y91" s="43"/>
      <c r="Z91" s="43">
        <f>Z92+Z93</f>
        <v>395181</v>
      </c>
      <c r="AA91" s="43"/>
      <c r="AB91" s="43">
        <f>AB92+AB93</f>
        <v>396060</v>
      </c>
      <c r="AC91" s="17" t="s">
        <v>158</v>
      </c>
      <c r="AD91" s="43">
        <f>AD92+AD93</f>
        <v>410500</v>
      </c>
      <c r="AE91" s="43"/>
      <c r="AF91" s="43">
        <f>AF92+AF93</f>
        <v>396060</v>
      </c>
      <c r="AG91" s="43"/>
      <c r="AH91" s="43">
        <f>AH92+AH93</f>
        <v>373000</v>
      </c>
      <c r="AI91" s="17" t="s">
        <v>159</v>
      </c>
      <c r="AJ91" s="43">
        <f>AJ92+AJ93</f>
        <v>463000</v>
      </c>
      <c r="AK91" s="17" t="s">
        <v>159</v>
      </c>
      <c r="AL91" s="43">
        <f>AL92+AL93</f>
        <v>440200</v>
      </c>
      <c r="AM91" s="43"/>
      <c r="AN91" s="43">
        <f>AN92+AN93</f>
        <v>440200</v>
      </c>
      <c r="AO91" s="43"/>
      <c r="AP91" s="43">
        <f>AP92+AP93</f>
        <v>440200</v>
      </c>
      <c r="AQ91" s="43"/>
      <c r="AR91" s="43">
        <f>AR92+AR93</f>
        <v>440200</v>
      </c>
      <c r="AS91" s="43"/>
      <c r="AT91" s="43">
        <f>445100000/1000</f>
        <v>445100</v>
      </c>
      <c r="AU91" s="43"/>
      <c r="AV91" s="43">
        <f>442306200/1000</f>
        <v>442306.2</v>
      </c>
      <c r="AW91" s="44"/>
      <c r="AX91" s="43">
        <f>438649607/1000</f>
        <v>438649.607</v>
      </c>
      <c r="AY91" s="17"/>
      <c r="AZ91" s="16">
        <v>436678.4</v>
      </c>
      <c r="BA91" s="16"/>
      <c r="BB91" s="43">
        <f>436678400/1000</f>
        <v>436678.4</v>
      </c>
      <c r="BC91" s="17"/>
      <c r="BD91" s="62">
        <f>432311220/1000</f>
        <v>432311.22</v>
      </c>
      <c r="BE91" s="17"/>
      <c r="BF91" s="45">
        <f>483611000/1000</f>
        <v>483611</v>
      </c>
      <c r="BG91" s="57"/>
      <c r="BH91" s="45">
        <f>(521625177+50000)/1000</f>
        <v>521675.177</v>
      </c>
      <c r="BI91" s="17" t="s">
        <v>161</v>
      </c>
      <c r="BJ91" s="45">
        <f>SUM(BJ92:BJ93)</f>
        <v>118800</v>
      </c>
      <c r="BK91" s="17"/>
      <c r="BL91" s="45">
        <f>571925000/1000</f>
        <v>571925</v>
      </c>
      <c r="BM91" s="17"/>
      <c r="BN91" s="45">
        <f>825425000/1000</f>
        <v>825425</v>
      </c>
      <c r="BO91" s="17"/>
      <c r="BP91" s="45">
        <f>449100000/1000</f>
        <v>449100</v>
      </c>
      <c r="BQ91" s="17"/>
      <c r="BR91" s="45">
        <f>448251201/1000</f>
        <v>448251.201</v>
      </c>
      <c r="BS91" s="17"/>
      <c r="BT91" s="45">
        <f>424804974/1000</f>
        <v>424804.974</v>
      </c>
      <c r="BU91" s="17"/>
    </row>
    <row r="92" spans="1:73" ht="12.75">
      <c r="A92" s="4" t="s">
        <v>42</v>
      </c>
      <c r="C92" s="14"/>
      <c r="D92" s="14"/>
      <c r="E92" s="13"/>
      <c r="F92" s="16">
        <v>247494</v>
      </c>
      <c r="G92" s="16"/>
      <c r="H92" s="16">
        <v>0</v>
      </c>
      <c r="I92" s="16"/>
      <c r="J92" s="16">
        <f>F92+H92</f>
        <v>247494</v>
      </c>
      <c r="K92" s="16"/>
      <c r="L92" s="16">
        <v>254280</v>
      </c>
      <c r="M92" s="16"/>
      <c r="N92" s="16">
        <v>243362</v>
      </c>
      <c r="O92" s="16"/>
      <c r="P92" s="16">
        <v>262080</v>
      </c>
      <c r="Q92" s="16"/>
      <c r="R92" s="16">
        <v>258383</v>
      </c>
      <c r="S92" s="16"/>
      <c r="T92" s="16">
        <v>268183</v>
      </c>
      <c r="U92" s="16"/>
      <c r="V92" s="16">
        <v>286270</v>
      </c>
      <c r="W92" s="16"/>
      <c r="X92" s="16">
        <v>304477</v>
      </c>
      <c r="Y92" s="16"/>
      <c r="Z92" s="16">
        <v>308241</v>
      </c>
      <c r="AA92" s="16"/>
      <c r="AB92" s="16">
        <v>308926</v>
      </c>
      <c r="AC92" s="16"/>
      <c r="AD92" s="16">
        <v>320190</v>
      </c>
      <c r="AE92" s="16"/>
      <c r="AF92" s="16">
        <v>308927</v>
      </c>
      <c r="AG92" s="16"/>
      <c r="AH92" s="16">
        <v>290940</v>
      </c>
      <c r="AI92" s="16"/>
      <c r="AJ92" s="16">
        <v>361140</v>
      </c>
      <c r="AK92" s="16"/>
      <c r="AL92" s="16">
        <v>343356</v>
      </c>
      <c r="AM92" s="16"/>
      <c r="AN92" s="16">
        <v>343356</v>
      </c>
      <c r="AO92" s="16"/>
      <c r="AP92" s="16">
        <v>343356</v>
      </c>
      <c r="AQ92" s="16"/>
      <c r="AR92" s="16">
        <v>343356</v>
      </c>
      <c r="AS92" s="16"/>
      <c r="AT92" s="16">
        <f>437750000/1000</f>
        <v>437750</v>
      </c>
      <c r="AU92" s="16"/>
      <c r="AV92" s="16">
        <f>373029647/1000</f>
        <v>373029.647</v>
      </c>
      <c r="AW92" s="17"/>
      <c r="AX92" s="16">
        <f>341842114/1000</f>
        <v>341842.114</v>
      </c>
      <c r="AY92" s="17"/>
      <c r="AZ92" s="16"/>
      <c r="BA92" s="16"/>
      <c r="BB92" s="16">
        <f>340542384/1000</f>
        <v>340542.384</v>
      </c>
      <c r="BC92" s="17"/>
      <c r="BD92" s="16">
        <f>337136652/1000</f>
        <v>337136.652</v>
      </c>
      <c r="BE92" s="17"/>
      <c r="BF92" s="57">
        <f>BF91-BF93</f>
        <v>377821.093</v>
      </c>
      <c r="BG92" s="57"/>
      <c r="BH92" s="21">
        <f>BH91-BH93</f>
        <v>407909.956</v>
      </c>
      <c r="BI92" s="17"/>
      <c r="BJ92" s="21">
        <f>(89372581+3266658)/1000</f>
        <v>92639.239</v>
      </c>
      <c r="BK92" s="21"/>
      <c r="BL92" s="21">
        <f>BL91-BL93</f>
        <v>446668.4</v>
      </c>
      <c r="BM92" s="21"/>
      <c r="BN92" s="21">
        <f>BN91-BN93</f>
        <v>654161.031</v>
      </c>
      <c r="BO92" s="21"/>
      <c r="BP92" s="21">
        <f>BP91-BP93</f>
        <v>350658.525</v>
      </c>
      <c r="BQ92" s="21"/>
      <c r="BR92" s="21">
        <f>BR91-BR93</f>
        <v>350425.107</v>
      </c>
      <c r="BS92" s="21"/>
      <c r="BT92" s="21">
        <f>BT91-BT93</f>
        <v>331283.566</v>
      </c>
      <c r="BU92" s="21"/>
    </row>
    <row r="93" spans="1:73" ht="12.75">
      <c r="A93" s="4" t="s">
        <v>43</v>
      </c>
      <c r="B93" s="2"/>
      <c r="C93" s="14"/>
      <c r="D93" s="14"/>
      <c r="E93" s="14"/>
      <c r="F93" s="16">
        <v>69806</v>
      </c>
      <c r="G93" s="16"/>
      <c r="H93" s="16">
        <v>0</v>
      </c>
      <c r="I93" s="16"/>
      <c r="J93" s="16">
        <f>F93+H93</f>
        <v>69806</v>
      </c>
      <c r="K93" s="16"/>
      <c r="L93" s="16">
        <v>71720</v>
      </c>
      <c r="M93" s="16"/>
      <c r="N93" s="16">
        <v>68640</v>
      </c>
      <c r="O93" s="16"/>
      <c r="P93" s="16">
        <v>73920</v>
      </c>
      <c r="Q93" s="16"/>
      <c r="R93" s="16">
        <v>72877</v>
      </c>
      <c r="S93" s="16"/>
      <c r="T93" s="16">
        <v>75641</v>
      </c>
      <c r="U93" s="16"/>
      <c r="V93" s="16">
        <v>80743</v>
      </c>
      <c r="W93" s="16"/>
      <c r="X93" s="16">
        <v>85878</v>
      </c>
      <c r="Y93" s="16"/>
      <c r="Z93" s="16">
        <v>86940</v>
      </c>
      <c r="AA93" s="16"/>
      <c r="AB93" s="16">
        <v>87134</v>
      </c>
      <c r="AC93" s="16"/>
      <c r="AD93" s="16">
        <v>90310</v>
      </c>
      <c r="AE93" s="16"/>
      <c r="AF93" s="16">
        <v>87133</v>
      </c>
      <c r="AG93" s="16"/>
      <c r="AH93" s="16">
        <v>82060</v>
      </c>
      <c r="AI93" s="16"/>
      <c r="AJ93" s="16">
        <v>101860</v>
      </c>
      <c r="AK93" s="16"/>
      <c r="AL93" s="16">
        <v>96844</v>
      </c>
      <c r="AM93" s="16"/>
      <c r="AN93" s="16">
        <v>96844</v>
      </c>
      <c r="AO93" s="16"/>
      <c r="AP93" s="16">
        <v>96844</v>
      </c>
      <c r="AQ93" s="16"/>
      <c r="AR93" s="16">
        <v>96844</v>
      </c>
      <c r="AS93" s="16"/>
      <c r="AT93" s="16">
        <f>AT91-AT92</f>
        <v>7350</v>
      </c>
      <c r="AU93" s="16"/>
      <c r="AV93" s="16">
        <f>AV91-AV92</f>
        <v>69276.55300000001</v>
      </c>
      <c r="AW93" s="17"/>
      <c r="AX93" s="16">
        <f>AX91-AX92</f>
        <v>96807.49300000002</v>
      </c>
      <c r="AY93" s="17"/>
      <c r="AZ93" s="16"/>
      <c r="BA93" s="16"/>
      <c r="BB93" s="16">
        <f>BB91-BB92</f>
        <v>96136.016</v>
      </c>
      <c r="BC93" s="17"/>
      <c r="BD93" s="16">
        <f>BD91-BD92</f>
        <v>95174.56799999997</v>
      </c>
      <c r="BE93" s="17"/>
      <c r="BF93" s="16">
        <f>(102162824+3627083)/1000</f>
        <v>105789.907</v>
      </c>
      <c r="BG93" s="57"/>
      <c r="BH93" s="16">
        <f>(109853032+3912189)/1000</f>
        <v>113765.221</v>
      </c>
      <c r="BI93" s="21"/>
      <c r="BJ93" s="21">
        <f>(25261138+899623)/1000</f>
        <v>26160.761</v>
      </c>
      <c r="BK93" s="21"/>
      <c r="BL93" s="16">
        <f>(120967162+4289438)/1000</f>
        <v>125256.6</v>
      </c>
      <c r="BM93" s="21"/>
      <c r="BN93" s="16">
        <f>(128319557+4503188+38441224)/1000</f>
        <v>171263.969</v>
      </c>
      <c r="BO93" s="21"/>
      <c r="BP93" s="16">
        <f>(95073225+3368250)/1000</f>
        <v>98441.475</v>
      </c>
      <c r="BQ93" s="21"/>
      <c r="BR93" s="16">
        <f>(94464210+3361884)/1000</f>
        <v>97826.094</v>
      </c>
      <c r="BS93" s="21"/>
      <c r="BT93" s="16">
        <f>(90335371+3186037)/1000</f>
        <v>93521.408</v>
      </c>
      <c r="BU93" s="21"/>
    </row>
    <row r="94" spans="1:73" ht="18" customHeight="1">
      <c r="A94" s="20" t="s">
        <v>113</v>
      </c>
      <c r="B94" s="13"/>
      <c r="C94" s="13"/>
      <c r="D94" s="11"/>
      <c r="E94" s="13"/>
      <c r="F94" s="45" t="s">
        <v>63</v>
      </c>
      <c r="G94" s="43"/>
      <c r="H94" s="45" t="s">
        <v>63</v>
      </c>
      <c r="I94" s="43"/>
      <c r="J94" s="45" t="s">
        <v>63</v>
      </c>
      <c r="K94" s="43"/>
      <c r="L94" s="45" t="s">
        <v>63</v>
      </c>
      <c r="M94" s="43"/>
      <c r="N94" s="45" t="s">
        <v>63</v>
      </c>
      <c r="O94" s="43"/>
      <c r="P94" s="45" t="s">
        <v>63</v>
      </c>
      <c r="Q94" s="43"/>
      <c r="R94" s="45" t="s">
        <v>63</v>
      </c>
      <c r="S94" s="43"/>
      <c r="T94" s="45" t="s">
        <v>63</v>
      </c>
      <c r="U94" s="43"/>
      <c r="V94" s="45" t="s">
        <v>63</v>
      </c>
      <c r="W94" s="43"/>
      <c r="X94" s="45" t="s">
        <v>63</v>
      </c>
      <c r="Y94" s="43"/>
      <c r="Z94" s="45" t="s">
        <v>63</v>
      </c>
      <c r="AA94" s="43"/>
      <c r="AB94" s="45" t="s">
        <v>63</v>
      </c>
      <c r="AC94" s="43"/>
      <c r="AD94" s="45" t="s">
        <v>63</v>
      </c>
      <c r="AE94" s="43"/>
      <c r="AF94" s="45" t="s">
        <v>63</v>
      </c>
      <c r="AG94" s="43"/>
      <c r="AH94" s="45" t="s">
        <v>63</v>
      </c>
      <c r="AI94" s="43"/>
      <c r="AJ94" s="45" t="s">
        <v>63</v>
      </c>
      <c r="AK94" s="43"/>
      <c r="AL94" s="45" t="s">
        <v>63</v>
      </c>
      <c r="AM94" s="43"/>
      <c r="AN94" s="45" t="s">
        <v>63</v>
      </c>
      <c r="AO94" s="43"/>
      <c r="AP94" s="45" t="s">
        <v>63</v>
      </c>
      <c r="AQ94" s="43"/>
      <c r="AR94" s="45" t="s">
        <v>63</v>
      </c>
      <c r="AS94" s="43"/>
      <c r="AT94" s="43">
        <f>175000000/1000</f>
        <v>175000</v>
      </c>
      <c r="AU94" s="16" t="s">
        <v>161</v>
      </c>
      <c r="AV94" s="45" t="s">
        <v>63</v>
      </c>
      <c r="AW94" s="44"/>
      <c r="AX94" s="45" t="s">
        <v>63</v>
      </c>
      <c r="AY94" s="44"/>
      <c r="AZ94" s="16"/>
      <c r="BA94" s="16"/>
      <c r="BB94" s="45" t="s">
        <v>63</v>
      </c>
      <c r="BC94" s="44"/>
      <c r="BD94" s="45">
        <f>50000000/1000</f>
        <v>50000</v>
      </c>
      <c r="BE94" s="58" t="s">
        <v>161</v>
      </c>
      <c r="BF94" s="57" t="s">
        <v>63</v>
      </c>
      <c r="BG94" s="57"/>
      <c r="BH94" s="21" t="s">
        <v>63</v>
      </c>
      <c r="BI94" s="21"/>
      <c r="BJ94" s="21" t="s">
        <v>63</v>
      </c>
      <c r="BK94" s="21"/>
      <c r="BL94" s="21" t="s">
        <v>63</v>
      </c>
      <c r="BM94" s="21"/>
      <c r="BN94" s="21" t="s">
        <v>63</v>
      </c>
      <c r="BO94" s="21"/>
      <c r="BP94" s="21" t="s">
        <v>63</v>
      </c>
      <c r="BQ94" s="21"/>
      <c r="BR94" s="21" t="s">
        <v>63</v>
      </c>
      <c r="BS94" s="21"/>
      <c r="BT94" s="21" t="s">
        <v>63</v>
      </c>
      <c r="BU94" s="21"/>
    </row>
  </sheetData>
  <sheetProtection/>
  <mergeCells count="2">
    <mergeCell ref="F7:J7"/>
    <mergeCell ref="A5:Q5"/>
  </mergeCells>
  <printOptions horizontalCentered="1" verticalCentered="1"/>
  <pageMargins left="0.75" right="0.25" top="0.25" bottom="0.25" header="0" footer="0"/>
  <pageSetup fitToWidth="7" horizontalDpi="600" verticalDpi="600" orientation="portrait" pageOrder="overThenDown" scale="59" r:id="rId1"/>
  <colBreaks count="6" manualBreakCount="6">
    <brk id="15" max="93" man="1"/>
    <brk id="25" max="93" man="1"/>
    <brk id="35" max="93" man="1"/>
    <brk id="45" max="93" man="1"/>
    <brk id="57" max="93" man="1"/>
    <brk id="67" max="93" man="1"/>
  </colBreaks>
</worksheet>
</file>

<file path=xl/worksheets/sheet2.xml><?xml version="1.0" encoding="utf-8"?>
<worksheet xmlns="http://schemas.openxmlformats.org/spreadsheetml/2006/main" xmlns:r="http://schemas.openxmlformats.org/officeDocument/2006/relationships">
  <dimension ref="A1:W167"/>
  <sheetViews>
    <sheetView workbookViewId="0" topLeftCell="A154">
      <selection activeCell="A168" sqref="A168"/>
    </sheetView>
  </sheetViews>
  <sheetFormatPr defaultColWidth="9.00390625" defaultRowHeight="12.75"/>
  <cols>
    <col min="1" max="1" width="7.625" style="1" customWidth="1"/>
    <col min="2" max="4" width="5.625" style="1" customWidth="1"/>
    <col min="5" max="5" width="16.125" style="1" bestFit="1" customWidth="1"/>
    <col min="6" max="9" width="5.625" style="1" customWidth="1"/>
    <col min="10" max="10" width="6.375" style="1" customWidth="1"/>
    <col min="11" max="11" width="7.125" style="1" customWidth="1"/>
    <col min="12" max="12" width="13.125" style="1" customWidth="1"/>
    <col min="13" max="13" width="17.125" style="1" customWidth="1"/>
    <col min="14" max="14" width="7.25390625" style="1" bestFit="1" customWidth="1"/>
    <col min="15" max="30" width="5.625" style="1" customWidth="1"/>
    <col min="31" max="31" width="4.125" style="1" customWidth="1"/>
    <col min="32" max="35" width="5.625" style="1" customWidth="1"/>
    <col min="36" max="44" width="5.625" style="3" customWidth="1"/>
    <col min="45" max="16384" width="9.00390625" style="3" customWidth="1"/>
  </cols>
  <sheetData>
    <row r="1" spans="1:11" ht="14.25">
      <c r="A1" s="41" t="s">
        <v>168</v>
      </c>
      <c r="K1" s="49" t="s">
        <v>237</v>
      </c>
    </row>
    <row r="2" ht="14.25">
      <c r="A2" s="41" t="s">
        <v>169</v>
      </c>
    </row>
    <row r="3" ht="14.25">
      <c r="A3" s="41" t="str">
        <f>+Table!A3</f>
        <v>Summary of Budget Authority, FY 1984 to 2013, By Year of Appropriation</v>
      </c>
    </row>
    <row r="4" ht="12.75">
      <c r="A4" s="53" t="str">
        <f>+Table!A4</f>
        <v>(Each year reflects any subsequent changes to that year, e.g., supplementals, rescissions, or transfers of budget authority)</v>
      </c>
    </row>
    <row r="5" spans="1:12" ht="12.75">
      <c r="A5" s="26" t="s">
        <v>174</v>
      </c>
      <c r="B5" s="7"/>
      <c r="C5" s="7"/>
      <c r="D5" s="7"/>
      <c r="E5" s="7"/>
      <c r="F5" s="7"/>
      <c r="G5" s="7"/>
      <c r="H5" s="7"/>
      <c r="I5" s="7"/>
      <c r="J5" s="7"/>
      <c r="K5" s="7"/>
      <c r="L5" s="7"/>
    </row>
    <row r="7" spans="1:23" ht="12.75">
      <c r="A7" s="54" t="s">
        <v>83</v>
      </c>
      <c r="B7" s="4" t="s">
        <v>167</v>
      </c>
      <c r="I7" s="31"/>
      <c r="V7" s="31"/>
      <c r="W7" s="31"/>
    </row>
    <row r="8" spans="1:23" ht="12.75">
      <c r="A8" s="30"/>
      <c r="B8" s="31"/>
      <c r="I8" s="31"/>
      <c r="V8" s="31"/>
      <c r="W8" s="31"/>
    </row>
    <row r="9" spans="1:23" ht="12.75">
      <c r="A9" s="30"/>
      <c r="B9" s="31"/>
      <c r="D9" s="65" t="s">
        <v>84</v>
      </c>
      <c r="E9" s="66">
        <v>824549000</v>
      </c>
      <c r="I9" s="31"/>
      <c r="V9" s="31"/>
      <c r="W9" s="31"/>
    </row>
    <row r="10" spans="1:23" ht="12.75">
      <c r="A10" s="30"/>
      <c r="B10" s="31"/>
      <c r="D10" s="65" t="s">
        <v>85</v>
      </c>
      <c r="E10" s="66">
        <v>824509240</v>
      </c>
      <c r="I10" s="31"/>
      <c r="V10" s="31"/>
      <c r="W10" s="31"/>
    </row>
    <row r="11" spans="1:23" ht="12.75">
      <c r="A11" s="30"/>
      <c r="B11" s="31"/>
      <c r="D11" s="65" t="s">
        <v>86</v>
      </c>
      <c r="E11" s="66">
        <v>781540366</v>
      </c>
      <c r="I11" s="31"/>
      <c r="V11" s="31"/>
      <c r="W11" s="31"/>
    </row>
    <row r="12" spans="1:23" ht="12.75">
      <c r="A12" s="30"/>
      <c r="B12" s="31"/>
      <c r="D12" s="65" t="s">
        <v>87</v>
      </c>
      <c r="E12" s="66">
        <v>635976000</v>
      </c>
      <c r="I12" s="31"/>
      <c r="V12" s="31"/>
      <c r="W12" s="31"/>
    </row>
    <row r="13" spans="1:23" ht="12.75">
      <c r="A13" s="30"/>
      <c r="B13" s="31"/>
      <c r="D13" s="65" t="s">
        <v>88</v>
      </c>
      <c r="E13" s="66">
        <v>750000000</v>
      </c>
      <c r="I13" s="31"/>
      <c r="V13" s="31"/>
      <c r="W13" s="31"/>
    </row>
    <row r="14" spans="1:23" ht="12.75">
      <c r="A14" s="30"/>
      <c r="B14" s="31"/>
      <c r="D14" s="65" t="s">
        <v>89</v>
      </c>
      <c r="E14" s="66">
        <v>718050000</v>
      </c>
      <c r="I14" s="31"/>
      <c r="V14" s="31"/>
      <c r="W14" s="31"/>
    </row>
    <row r="15" spans="1:23" ht="12.75">
      <c r="A15" s="30"/>
      <c r="B15" s="31"/>
      <c r="D15" s="65" t="s">
        <v>90</v>
      </c>
      <c r="E15" s="66">
        <v>709433000</v>
      </c>
      <c r="I15" s="31"/>
      <c r="V15" s="31"/>
      <c r="W15" s="31"/>
    </row>
    <row r="16" spans="1:23" ht="12.75">
      <c r="A16" s="30"/>
      <c r="B16" s="31"/>
      <c r="D16" s="65" t="s">
        <v>91</v>
      </c>
      <c r="E16" s="66">
        <v>699777000</v>
      </c>
      <c r="I16" s="31"/>
      <c r="V16" s="31"/>
      <c r="W16" s="31"/>
    </row>
    <row r="17" spans="1:23" ht="12.75">
      <c r="A17" s="30"/>
      <c r="B17" s="31"/>
      <c r="D17" s="65" t="s">
        <v>92</v>
      </c>
      <c r="E17" s="66">
        <v>1182880001</v>
      </c>
      <c r="I17" s="31"/>
      <c r="V17" s="31"/>
      <c r="W17" s="31"/>
    </row>
    <row r="18" spans="1:23" ht="12.75">
      <c r="A18" s="30"/>
      <c r="B18" s="31"/>
      <c r="D18" s="65" t="s">
        <v>93</v>
      </c>
      <c r="E18" s="66">
        <v>849412000</v>
      </c>
      <c r="I18" s="31"/>
      <c r="V18" s="31"/>
      <c r="W18" s="31"/>
    </row>
    <row r="19" spans="1:23" ht="12.75">
      <c r="A19" s="30"/>
      <c r="B19" s="31"/>
      <c r="D19" s="65" t="s">
        <v>94</v>
      </c>
      <c r="E19" s="66">
        <v>876674336</v>
      </c>
      <c r="I19" s="31"/>
      <c r="V19" s="31"/>
      <c r="W19" s="31"/>
    </row>
    <row r="20" spans="1:23" ht="12.75">
      <c r="A20" s="30"/>
      <c r="B20" s="31"/>
      <c r="D20" s="65" t="s">
        <v>95</v>
      </c>
      <c r="E20" s="66">
        <v>867070000</v>
      </c>
      <c r="I20" s="31"/>
      <c r="V20" s="31"/>
      <c r="W20" s="31"/>
    </row>
    <row r="21" spans="1:23" ht="12.75">
      <c r="A21" s="30"/>
      <c r="B21" s="31"/>
      <c r="D21" s="65" t="s">
        <v>96</v>
      </c>
      <c r="E21" s="66">
        <v>625000000</v>
      </c>
      <c r="I21" s="31"/>
      <c r="V21" s="31"/>
      <c r="W21" s="31"/>
    </row>
    <row r="22" spans="1:9" ht="12.75">
      <c r="A22" s="30"/>
      <c r="B22" s="31"/>
      <c r="D22" s="65" t="s">
        <v>97</v>
      </c>
      <c r="E22" s="66">
        <v>871000000</v>
      </c>
      <c r="I22" s="31"/>
    </row>
    <row r="23" spans="1:23" ht="12.75">
      <c r="A23" s="30"/>
      <c r="B23" s="31"/>
      <c r="D23" s="65" t="s">
        <v>98</v>
      </c>
      <c r="E23" s="66">
        <v>871000000</v>
      </c>
      <c r="I23" s="31"/>
      <c r="V23" s="32"/>
      <c r="W23" s="32"/>
    </row>
    <row r="24" spans="1:23" ht="12.75">
      <c r="A24" s="30"/>
      <c r="B24" s="31"/>
      <c r="D24" s="65" t="s">
        <v>99</v>
      </c>
      <c r="E24" s="66">
        <v>871000000</v>
      </c>
      <c r="I24" s="31"/>
      <c r="V24" s="32"/>
      <c r="W24" s="32"/>
    </row>
    <row r="25" spans="1:9" ht="12.75">
      <c r="A25" s="33"/>
      <c r="B25" s="31"/>
      <c r="I25" s="31"/>
    </row>
    <row r="26" spans="1:12" ht="12.75">
      <c r="A26" s="38">
        <v>1984</v>
      </c>
      <c r="B26" s="35"/>
      <c r="C26" s="35"/>
      <c r="D26" s="35"/>
      <c r="E26" s="35"/>
      <c r="F26" s="35"/>
      <c r="G26" s="35"/>
      <c r="H26" s="35"/>
      <c r="I26" s="35"/>
      <c r="J26" s="35"/>
      <c r="K26" s="35"/>
      <c r="L26" s="35"/>
    </row>
    <row r="27" spans="1:23" ht="15" customHeight="1">
      <c r="A27" s="42" t="s">
        <v>158</v>
      </c>
      <c r="B27" s="69" t="s">
        <v>132</v>
      </c>
      <c r="C27" s="69"/>
      <c r="D27" s="69"/>
      <c r="E27" s="69"/>
      <c r="F27" s="69"/>
      <c r="G27" s="69"/>
      <c r="H27" s="69"/>
      <c r="I27" s="69"/>
      <c r="J27" s="69"/>
      <c r="K27" s="69"/>
      <c r="L27" s="69"/>
      <c r="V27" s="32"/>
      <c r="W27" s="32"/>
    </row>
    <row r="28" spans="1:12" ht="14.25" customHeight="1">
      <c r="A28" s="39"/>
      <c r="B28" s="36"/>
      <c r="C28" s="34"/>
      <c r="D28" s="34"/>
      <c r="E28" s="34"/>
      <c r="F28" s="34"/>
      <c r="G28" s="34"/>
      <c r="H28" s="34"/>
      <c r="I28" s="36"/>
      <c r="J28" s="34"/>
      <c r="K28" s="34"/>
      <c r="L28" s="34"/>
    </row>
    <row r="29" spans="1:12" ht="12.75">
      <c r="A29" s="38">
        <v>1985</v>
      </c>
      <c r="B29" s="35"/>
      <c r="C29" s="35"/>
      <c r="D29" s="35"/>
      <c r="E29" s="35"/>
      <c r="F29" s="35"/>
      <c r="G29" s="35"/>
      <c r="H29" s="35"/>
      <c r="I29" s="35"/>
      <c r="J29" s="35"/>
      <c r="K29" s="35"/>
      <c r="L29" s="35"/>
    </row>
    <row r="30" spans="1:23" ht="12.75" customHeight="1">
      <c r="A30" s="42" t="s">
        <v>158</v>
      </c>
      <c r="B30" s="69" t="s">
        <v>133</v>
      </c>
      <c r="C30" s="69"/>
      <c r="D30" s="69"/>
      <c r="E30" s="69"/>
      <c r="F30" s="69"/>
      <c r="G30" s="69"/>
      <c r="H30" s="69"/>
      <c r="I30" s="69"/>
      <c r="J30" s="69"/>
      <c r="K30" s="69"/>
      <c r="L30" s="69"/>
      <c r="V30" s="32"/>
      <c r="W30" s="32"/>
    </row>
    <row r="31" spans="1:12" ht="18" customHeight="1">
      <c r="A31" s="39"/>
      <c r="B31" s="36"/>
      <c r="C31" s="34"/>
      <c r="D31" s="34"/>
      <c r="E31" s="34"/>
      <c r="F31" s="34"/>
      <c r="G31" s="34"/>
      <c r="H31" s="34"/>
      <c r="I31" s="36"/>
      <c r="J31" s="34"/>
      <c r="K31" s="34"/>
      <c r="L31" s="34"/>
    </row>
    <row r="32" spans="1:12" ht="12.75">
      <c r="A32" s="38">
        <v>1987</v>
      </c>
      <c r="B32" s="35"/>
      <c r="C32" s="35"/>
      <c r="D32" s="35"/>
      <c r="E32" s="35"/>
      <c r="F32" s="35"/>
      <c r="G32" s="35"/>
      <c r="H32" s="35"/>
      <c r="I32" s="35"/>
      <c r="J32" s="35"/>
      <c r="K32" s="35"/>
      <c r="L32" s="35"/>
    </row>
    <row r="33" spans="1:12" ht="14.25" customHeight="1">
      <c r="A33" s="42" t="s">
        <v>158</v>
      </c>
      <c r="B33" s="69" t="s">
        <v>100</v>
      </c>
      <c r="C33" s="69"/>
      <c r="D33" s="69"/>
      <c r="E33" s="69"/>
      <c r="F33" s="69"/>
      <c r="G33" s="69"/>
      <c r="H33" s="69"/>
      <c r="I33" s="69"/>
      <c r="J33" s="69"/>
      <c r="K33" s="69"/>
      <c r="L33" s="69"/>
    </row>
    <row r="34" spans="1:12" ht="16.5" customHeight="1">
      <c r="A34" s="39"/>
      <c r="B34" s="36"/>
      <c r="C34" s="34"/>
      <c r="D34" s="34"/>
      <c r="E34" s="34"/>
      <c r="F34" s="34"/>
      <c r="G34" s="34"/>
      <c r="H34" s="34"/>
      <c r="I34" s="36"/>
      <c r="J34" s="34"/>
      <c r="K34" s="34"/>
      <c r="L34" s="34"/>
    </row>
    <row r="35" spans="1:12" ht="12.75">
      <c r="A35" s="38">
        <v>1988</v>
      </c>
      <c r="B35" s="35"/>
      <c r="C35" s="35"/>
      <c r="D35" s="35"/>
      <c r="E35" s="35"/>
      <c r="F35" s="35"/>
      <c r="G35" s="35"/>
      <c r="H35" s="35"/>
      <c r="I35" s="35"/>
      <c r="J35" s="35"/>
      <c r="K35" s="35"/>
      <c r="L35" s="35"/>
    </row>
    <row r="36" spans="1:23" ht="25.5" customHeight="1">
      <c r="A36" s="42" t="s">
        <v>158</v>
      </c>
      <c r="B36" s="69" t="s">
        <v>134</v>
      </c>
      <c r="C36" s="69"/>
      <c r="D36" s="69"/>
      <c r="E36" s="69"/>
      <c r="F36" s="69"/>
      <c r="G36" s="69"/>
      <c r="H36" s="69"/>
      <c r="I36" s="69"/>
      <c r="J36" s="69"/>
      <c r="K36" s="69"/>
      <c r="L36" s="69"/>
      <c r="V36" s="32"/>
      <c r="W36" s="32"/>
    </row>
    <row r="37" spans="1:12" ht="18" customHeight="1">
      <c r="A37" s="39"/>
      <c r="B37" s="36"/>
      <c r="C37" s="34"/>
      <c r="D37" s="34"/>
      <c r="E37" s="34"/>
      <c r="F37" s="34"/>
      <c r="G37" s="34"/>
      <c r="H37" s="34"/>
      <c r="I37" s="36"/>
      <c r="J37" s="34"/>
      <c r="K37" s="34"/>
      <c r="L37" s="34"/>
    </row>
    <row r="38" spans="1:12" ht="12.75">
      <c r="A38" s="38">
        <v>1990</v>
      </c>
      <c r="B38" s="35"/>
      <c r="C38" s="35"/>
      <c r="D38" s="35"/>
      <c r="E38" s="35"/>
      <c r="F38" s="35"/>
      <c r="G38" s="35"/>
      <c r="H38" s="35"/>
      <c r="I38" s="35"/>
      <c r="J38" s="35"/>
      <c r="K38" s="35"/>
      <c r="L38" s="35"/>
    </row>
    <row r="39" spans="1:23" ht="12.75" customHeight="1">
      <c r="A39" s="42" t="s">
        <v>158</v>
      </c>
      <c r="B39" s="69" t="s">
        <v>135</v>
      </c>
      <c r="C39" s="69"/>
      <c r="D39" s="69"/>
      <c r="E39" s="69"/>
      <c r="F39" s="69"/>
      <c r="G39" s="69"/>
      <c r="H39" s="69"/>
      <c r="I39" s="69"/>
      <c r="J39" s="69"/>
      <c r="K39" s="69"/>
      <c r="L39" s="69"/>
      <c r="V39" s="32"/>
      <c r="W39" s="32"/>
    </row>
    <row r="40" spans="1:12" ht="21.75" customHeight="1">
      <c r="A40" s="39"/>
      <c r="B40" s="36"/>
      <c r="C40" s="34"/>
      <c r="D40" s="34"/>
      <c r="E40" s="34"/>
      <c r="F40" s="34"/>
      <c r="G40" s="34"/>
      <c r="H40" s="34"/>
      <c r="I40" s="36"/>
      <c r="J40" s="34"/>
      <c r="K40" s="34"/>
      <c r="L40" s="34"/>
    </row>
    <row r="41" spans="1:12" ht="12.75">
      <c r="A41" s="38">
        <v>1991</v>
      </c>
      <c r="B41" s="35"/>
      <c r="C41" s="35"/>
      <c r="D41" s="35"/>
      <c r="E41" s="35"/>
      <c r="F41" s="35"/>
      <c r="G41" s="35"/>
      <c r="H41" s="35"/>
      <c r="I41" s="35"/>
      <c r="J41" s="35"/>
      <c r="K41" s="35"/>
      <c r="L41" s="35"/>
    </row>
    <row r="42" spans="1:23" ht="15.75" customHeight="1">
      <c r="A42" s="42" t="s">
        <v>158</v>
      </c>
      <c r="B42" s="69" t="s">
        <v>136</v>
      </c>
      <c r="C42" s="69"/>
      <c r="D42" s="69"/>
      <c r="E42" s="69"/>
      <c r="F42" s="69"/>
      <c r="G42" s="69"/>
      <c r="H42" s="69"/>
      <c r="I42" s="69"/>
      <c r="J42" s="69"/>
      <c r="K42" s="69"/>
      <c r="L42" s="69"/>
      <c r="V42" s="32"/>
      <c r="W42" s="32"/>
    </row>
    <row r="43" spans="1:23" ht="12.75" customHeight="1">
      <c r="A43" s="42" t="s">
        <v>159</v>
      </c>
      <c r="B43" s="69" t="s">
        <v>137</v>
      </c>
      <c r="C43" s="69"/>
      <c r="D43" s="69"/>
      <c r="E43" s="69"/>
      <c r="F43" s="69"/>
      <c r="G43" s="69"/>
      <c r="H43" s="69"/>
      <c r="I43" s="69"/>
      <c r="J43" s="69"/>
      <c r="K43" s="69"/>
      <c r="L43" s="69"/>
      <c r="V43" s="32"/>
      <c r="W43" s="32"/>
    </row>
    <row r="44" spans="1:12" ht="16.5" customHeight="1">
      <c r="A44" s="39"/>
      <c r="B44" s="36"/>
      <c r="C44" s="34"/>
      <c r="D44" s="34"/>
      <c r="E44" s="34"/>
      <c r="F44" s="34"/>
      <c r="G44" s="34"/>
      <c r="H44" s="34"/>
      <c r="I44" s="36"/>
      <c r="J44" s="34"/>
      <c r="K44" s="34"/>
      <c r="L44" s="34"/>
    </row>
    <row r="45" spans="1:12" ht="12.75">
      <c r="A45" s="38">
        <v>1992</v>
      </c>
      <c r="B45" s="35"/>
      <c r="C45" s="35"/>
      <c r="D45" s="35"/>
      <c r="E45" s="35"/>
      <c r="F45" s="35"/>
      <c r="G45" s="35"/>
      <c r="H45" s="35"/>
      <c r="I45" s="35"/>
      <c r="J45" s="35"/>
      <c r="K45" s="35"/>
      <c r="L45" s="35"/>
    </row>
    <row r="46" spans="1:12" ht="13.5" customHeight="1">
      <c r="A46" s="42" t="s">
        <v>158</v>
      </c>
      <c r="B46" s="69" t="s">
        <v>138</v>
      </c>
      <c r="C46" s="69"/>
      <c r="D46" s="69"/>
      <c r="E46" s="69"/>
      <c r="F46" s="69"/>
      <c r="G46" s="69"/>
      <c r="H46" s="69"/>
      <c r="I46" s="69"/>
      <c r="J46" s="69"/>
      <c r="K46" s="69"/>
      <c r="L46" s="69"/>
    </row>
    <row r="47" spans="1:12" ht="21.75" customHeight="1">
      <c r="A47" s="39"/>
      <c r="B47" s="36"/>
      <c r="C47" s="34"/>
      <c r="D47" s="34"/>
      <c r="E47" s="34"/>
      <c r="F47" s="34"/>
      <c r="G47" s="34"/>
      <c r="H47" s="34"/>
      <c r="I47" s="36"/>
      <c r="J47" s="34"/>
      <c r="K47" s="34"/>
      <c r="L47" s="34"/>
    </row>
    <row r="48" spans="1:12" ht="12.75">
      <c r="A48" s="38">
        <v>1993</v>
      </c>
      <c r="B48" s="35"/>
      <c r="C48" s="35"/>
      <c r="D48" s="35"/>
      <c r="E48" s="35"/>
      <c r="F48" s="35"/>
      <c r="G48" s="35"/>
      <c r="H48" s="35"/>
      <c r="I48" s="35"/>
      <c r="J48" s="35"/>
      <c r="K48" s="35"/>
      <c r="L48" s="35"/>
    </row>
    <row r="49" spans="1:23" ht="51" customHeight="1">
      <c r="A49" s="42" t="s">
        <v>158</v>
      </c>
      <c r="B49" s="69" t="s">
        <v>139</v>
      </c>
      <c r="C49" s="69"/>
      <c r="D49" s="69"/>
      <c r="E49" s="69"/>
      <c r="F49" s="69"/>
      <c r="G49" s="69"/>
      <c r="H49" s="69"/>
      <c r="I49" s="69"/>
      <c r="J49" s="69"/>
      <c r="K49" s="69"/>
      <c r="L49" s="69"/>
      <c r="V49" s="32"/>
      <c r="W49" s="32"/>
    </row>
    <row r="50" spans="1:23" ht="25.5" customHeight="1">
      <c r="A50" s="42" t="s">
        <v>159</v>
      </c>
      <c r="B50" s="69" t="s">
        <v>140</v>
      </c>
      <c r="C50" s="69"/>
      <c r="D50" s="69"/>
      <c r="E50" s="69"/>
      <c r="F50" s="69"/>
      <c r="G50" s="69"/>
      <c r="H50" s="69"/>
      <c r="I50" s="69"/>
      <c r="J50" s="69"/>
      <c r="K50" s="69"/>
      <c r="L50" s="69"/>
      <c r="V50" s="32"/>
      <c r="W50" s="32"/>
    </row>
    <row r="51" spans="1:12" ht="24.75" customHeight="1">
      <c r="A51" s="42" t="s">
        <v>160</v>
      </c>
      <c r="B51" s="69" t="s">
        <v>141</v>
      </c>
      <c r="C51" s="69"/>
      <c r="D51" s="69"/>
      <c r="E51" s="69"/>
      <c r="F51" s="69"/>
      <c r="G51" s="69"/>
      <c r="H51" s="69"/>
      <c r="I51" s="69"/>
      <c r="J51" s="69"/>
      <c r="K51" s="69"/>
      <c r="L51" s="69"/>
    </row>
    <row r="52" spans="1:12" ht="16.5" customHeight="1">
      <c r="A52" s="39"/>
      <c r="B52" s="36"/>
      <c r="C52" s="34"/>
      <c r="D52" s="34"/>
      <c r="E52" s="34"/>
      <c r="F52" s="34"/>
      <c r="G52" s="34"/>
      <c r="H52" s="34"/>
      <c r="I52" s="36"/>
      <c r="J52" s="34"/>
      <c r="K52" s="34"/>
      <c r="L52" s="34"/>
    </row>
    <row r="53" spans="1:12" ht="12.75">
      <c r="A53" s="38">
        <v>1994</v>
      </c>
      <c r="B53" s="35"/>
      <c r="C53" s="35"/>
      <c r="D53" s="35"/>
      <c r="E53" s="35"/>
      <c r="F53" s="35"/>
      <c r="G53" s="35"/>
      <c r="H53" s="35"/>
      <c r="I53" s="35"/>
      <c r="J53" s="35"/>
      <c r="K53" s="35"/>
      <c r="L53" s="35"/>
    </row>
    <row r="54" spans="1:23" ht="27" customHeight="1">
      <c r="A54" s="42" t="s">
        <v>158</v>
      </c>
      <c r="B54" s="69" t="s">
        <v>105</v>
      </c>
      <c r="C54" s="69"/>
      <c r="D54" s="69"/>
      <c r="E54" s="69"/>
      <c r="F54" s="69"/>
      <c r="G54" s="69"/>
      <c r="H54" s="69"/>
      <c r="I54" s="69"/>
      <c r="J54" s="69"/>
      <c r="K54" s="69"/>
      <c r="L54" s="69"/>
      <c r="V54" s="32"/>
      <c r="W54" s="32"/>
    </row>
    <row r="55" spans="1:12" ht="12.75" customHeight="1">
      <c r="A55" s="42" t="s">
        <v>159</v>
      </c>
      <c r="B55" s="69" t="s">
        <v>142</v>
      </c>
      <c r="C55" s="69"/>
      <c r="D55" s="69"/>
      <c r="E55" s="69"/>
      <c r="F55" s="69"/>
      <c r="G55" s="69"/>
      <c r="H55" s="69"/>
      <c r="I55" s="69"/>
      <c r="J55" s="69"/>
      <c r="K55" s="69"/>
      <c r="L55" s="69"/>
    </row>
    <row r="56" spans="1:12" ht="12.75" customHeight="1">
      <c r="A56" s="42" t="s">
        <v>160</v>
      </c>
      <c r="B56" s="69" t="s">
        <v>101</v>
      </c>
      <c r="C56" s="69"/>
      <c r="D56" s="69"/>
      <c r="E56" s="69"/>
      <c r="F56" s="69"/>
      <c r="G56" s="69"/>
      <c r="H56" s="69"/>
      <c r="I56" s="69"/>
      <c r="J56" s="69"/>
      <c r="K56" s="69"/>
      <c r="L56" s="69"/>
    </row>
    <row r="57" spans="1:12" ht="15.75" customHeight="1">
      <c r="A57" s="42" t="s">
        <v>161</v>
      </c>
      <c r="B57" s="69" t="s">
        <v>143</v>
      </c>
      <c r="C57" s="69"/>
      <c r="D57" s="69"/>
      <c r="E57" s="69"/>
      <c r="F57" s="69"/>
      <c r="G57" s="69"/>
      <c r="H57" s="69"/>
      <c r="I57" s="69"/>
      <c r="J57" s="69"/>
      <c r="K57" s="69"/>
      <c r="L57" s="69"/>
    </row>
    <row r="58" spans="1:12" ht="21.75" customHeight="1">
      <c r="A58" s="39"/>
      <c r="B58" s="37"/>
      <c r="C58" s="37"/>
      <c r="D58" s="37"/>
      <c r="E58" s="37"/>
      <c r="F58" s="37"/>
      <c r="G58" s="37"/>
      <c r="H58" s="37"/>
      <c r="I58" s="37"/>
      <c r="J58" s="37"/>
      <c r="K58" s="37"/>
      <c r="L58" s="37"/>
    </row>
    <row r="59" spans="1:12" ht="12.75">
      <c r="A59" s="38">
        <v>1995</v>
      </c>
      <c r="B59" s="35"/>
      <c r="C59" s="35"/>
      <c r="D59" s="35"/>
      <c r="E59" s="35"/>
      <c r="F59" s="35"/>
      <c r="G59" s="35"/>
      <c r="H59" s="35"/>
      <c r="I59" s="35"/>
      <c r="J59" s="35"/>
      <c r="K59" s="35"/>
      <c r="L59" s="35"/>
    </row>
    <row r="60" spans="1:12" ht="13.5" customHeight="1">
      <c r="A60" s="42" t="s">
        <v>158</v>
      </c>
      <c r="B60" s="69" t="s">
        <v>144</v>
      </c>
      <c r="C60" s="69"/>
      <c r="D60" s="69"/>
      <c r="E60" s="69"/>
      <c r="F60" s="69"/>
      <c r="G60" s="69"/>
      <c r="H60" s="69"/>
      <c r="I60" s="69"/>
      <c r="J60" s="69"/>
      <c r="K60" s="69"/>
      <c r="L60" s="69"/>
    </row>
    <row r="61" spans="1:12" ht="12.75">
      <c r="A61" s="39"/>
      <c r="B61" s="37"/>
      <c r="C61" s="37"/>
      <c r="D61" s="37"/>
      <c r="E61" s="37"/>
      <c r="F61" s="37"/>
      <c r="G61" s="37"/>
      <c r="H61" s="37"/>
      <c r="I61" s="37"/>
      <c r="J61" s="37"/>
      <c r="K61" s="37"/>
      <c r="L61" s="37"/>
    </row>
    <row r="62" spans="1:12" ht="12.75">
      <c r="A62" s="38">
        <v>1996</v>
      </c>
      <c r="B62" s="35"/>
      <c r="C62" s="35"/>
      <c r="D62" s="35"/>
      <c r="E62" s="35"/>
      <c r="F62" s="35"/>
      <c r="G62" s="35"/>
      <c r="H62" s="35"/>
      <c r="I62" s="35"/>
      <c r="J62" s="35"/>
      <c r="K62" s="35"/>
      <c r="L62" s="35"/>
    </row>
    <row r="63" spans="1:23" ht="12" customHeight="1">
      <c r="A63" s="42" t="s">
        <v>158</v>
      </c>
      <c r="B63" s="69" t="s">
        <v>145</v>
      </c>
      <c r="C63" s="69"/>
      <c r="D63" s="69"/>
      <c r="E63" s="69"/>
      <c r="F63" s="69"/>
      <c r="G63" s="69"/>
      <c r="H63" s="69"/>
      <c r="I63" s="69"/>
      <c r="J63" s="69"/>
      <c r="K63" s="69"/>
      <c r="L63" s="69"/>
      <c r="V63" s="32"/>
      <c r="W63" s="32"/>
    </row>
    <row r="64" spans="1:12" ht="12.75" customHeight="1">
      <c r="A64" s="42" t="s">
        <v>159</v>
      </c>
      <c r="B64" s="69" t="s">
        <v>130</v>
      </c>
      <c r="C64" s="69"/>
      <c r="D64" s="69"/>
      <c r="E64" s="69"/>
      <c r="F64" s="69"/>
      <c r="G64" s="69"/>
      <c r="H64" s="69"/>
      <c r="I64" s="69"/>
      <c r="J64" s="69"/>
      <c r="K64" s="69"/>
      <c r="L64" s="69"/>
    </row>
    <row r="65" spans="1:12" ht="21.75" customHeight="1">
      <c r="A65" s="40"/>
      <c r="B65" s="37"/>
      <c r="C65" s="37"/>
      <c r="D65" s="37"/>
      <c r="E65" s="37"/>
      <c r="F65" s="37"/>
      <c r="G65" s="37"/>
      <c r="H65" s="37"/>
      <c r="I65" s="37"/>
      <c r="J65" s="37"/>
      <c r="K65" s="37"/>
      <c r="L65" s="37"/>
    </row>
    <row r="66" spans="1:12" ht="12.75">
      <c r="A66" s="38">
        <v>1997</v>
      </c>
      <c r="B66" s="35"/>
      <c r="C66" s="35"/>
      <c r="D66" s="35"/>
      <c r="E66" s="35"/>
      <c r="F66" s="35"/>
      <c r="G66" s="35"/>
      <c r="H66" s="35"/>
      <c r="I66" s="35"/>
      <c r="J66" s="35"/>
      <c r="K66" s="35"/>
      <c r="L66" s="35"/>
    </row>
    <row r="67" spans="1:12" ht="13.5" customHeight="1">
      <c r="A67" s="42" t="s">
        <v>158</v>
      </c>
      <c r="B67" s="69" t="s">
        <v>129</v>
      </c>
      <c r="C67" s="69"/>
      <c r="D67" s="69"/>
      <c r="E67" s="69"/>
      <c r="F67" s="69"/>
      <c r="G67" s="69"/>
      <c r="H67" s="69"/>
      <c r="I67" s="69"/>
      <c r="J67" s="69"/>
      <c r="K67" s="69"/>
      <c r="L67" s="69"/>
    </row>
    <row r="68" spans="1:12" ht="12.75" customHeight="1">
      <c r="A68" s="42" t="s">
        <v>159</v>
      </c>
      <c r="B68" s="69" t="s">
        <v>130</v>
      </c>
      <c r="C68" s="69"/>
      <c r="D68" s="69"/>
      <c r="E68" s="69"/>
      <c r="F68" s="69"/>
      <c r="G68" s="69"/>
      <c r="H68" s="69"/>
      <c r="I68" s="69"/>
      <c r="J68" s="69"/>
      <c r="K68" s="69"/>
      <c r="L68" s="69"/>
    </row>
    <row r="69" spans="1:12" ht="21" customHeight="1">
      <c r="A69" s="40"/>
      <c r="B69" s="37"/>
      <c r="C69" s="37"/>
      <c r="D69" s="37"/>
      <c r="E69" s="37"/>
      <c r="F69" s="37"/>
      <c r="G69" s="37"/>
      <c r="H69" s="37"/>
      <c r="I69" s="37"/>
      <c r="J69" s="37"/>
      <c r="K69" s="37"/>
      <c r="L69" s="37"/>
    </row>
    <row r="70" spans="1:12" ht="12.75">
      <c r="A70" s="38">
        <v>1998</v>
      </c>
      <c r="B70" s="35"/>
      <c r="C70" s="35"/>
      <c r="D70" s="35"/>
      <c r="E70" s="35"/>
      <c r="F70" s="35"/>
      <c r="G70" s="35"/>
      <c r="H70" s="35"/>
      <c r="I70" s="35"/>
      <c r="J70" s="35"/>
      <c r="K70" s="35"/>
      <c r="L70" s="35"/>
    </row>
    <row r="71" spans="1:12" ht="27.75" customHeight="1">
      <c r="A71" s="42" t="s">
        <v>158</v>
      </c>
      <c r="B71" s="69" t="s">
        <v>131</v>
      </c>
      <c r="C71" s="69"/>
      <c r="D71" s="69"/>
      <c r="E71" s="69"/>
      <c r="F71" s="69"/>
      <c r="G71" s="69"/>
      <c r="H71" s="69"/>
      <c r="I71" s="69"/>
      <c r="J71" s="69"/>
      <c r="K71" s="69"/>
      <c r="L71" s="69"/>
    </row>
    <row r="72" spans="1:12" ht="26.25" customHeight="1">
      <c r="A72" s="42" t="s">
        <v>159</v>
      </c>
      <c r="B72" s="69" t="s">
        <v>107</v>
      </c>
      <c r="C72" s="69"/>
      <c r="D72" s="69"/>
      <c r="E72" s="69"/>
      <c r="F72" s="69"/>
      <c r="G72" s="69"/>
      <c r="H72" s="69"/>
      <c r="I72" s="69"/>
      <c r="J72" s="69"/>
      <c r="K72" s="69"/>
      <c r="L72" s="69"/>
    </row>
    <row r="73" spans="1:12" ht="26.25" customHeight="1">
      <c r="A73" s="42" t="s">
        <v>160</v>
      </c>
      <c r="B73" s="69" t="s">
        <v>146</v>
      </c>
      <c r="C73" s="69"/>
      <c r="D73" s="69"/>
      <c r="E73" s="69"/>
      <c r="F73" s="69"/>
      <c r="G73" s="69"/>
      <c r="H73" s="69"/>
      <c r="I73" s="69"/>
      <c r="J73" s="69"/>
      <c r="K73" s="69"/>
      <c r="L73" s="69"/>
    </row>
    <row r="74" spans="1:12" ht="27" customHeight="1">
      <c r="A74" s="42" t="s">
        <v>161</v>
      </c>
      <c r="B74" s="69" t="s">
        <v>147</v>
      </c>
      <c r="C74" s="69"/>
      <c r="D74" s="69"/>
      <c r="E74" s="69"/>
      <c r="F74" s="69"/>
      <c r="G74" s="69"/>
      <c r="H74" s="69"/>
      <c r="I74" s="69"/>
      <c r="J74" s="69"/>
      <c r="K74" s="69"/>
      <c r="L74" s="69"/>
    </row>
    <row r="75" spans="1:12" ht="18" customHeight="1">
      <c r="A75" s="39"/>
      <c r="B75" s="37"/>
      <c r="C75" s="37"/>
      <c r="D75" s="37"/>
      <c r="E75" s="37"/>
      <c r="F75" s="37"/>
      <c r="G75" s="37"/>
      <c r="H75" s="37"/>
      <c r="I75" s="37"/>
      <c r="J75" s="37"/>
      <c r="K75" s="37"/>
      <c r="L75" s="37"/>
    </row>
    <row r="76" spans="1:12" ht="12.75">
      <c r="A76" s="38">
        <v>1999</v>
      </c>
      <c r="B76" s="35"/>
      <c r="C76" s="35"/>
      <c r="D76" s="35"/>
      <c r="E76" s="35"/>
      <c r="F76" s="35"/>
      <c r="G76" s="35"/>
      <c r="H76" s="35"/>
      <c r="I76" s="35"/>
      <c r="J76" s="35"/>
      <c r="K76" s="35"/>
      <c r="L76" s="35"/>
    </row>
    <row r="77" spans="1:12" ht="14.25" customHeight="1">
      <c r="A77" s="42" t="s">
        <v>158</v>
      </c>
      <c r="B77" s="69" t="s">
        <v>148</v>
      </c>
      <c r="C77" s="69"/>
      <c r="D77" s="69"/>
      <c r="E77" s="69"/>
      <c r="F77" s="69"/>
      <c r="G77" s="69"/>
      <c r="H77" s="69"/>
      <c r="I77" s="69"/>
      <c r="J77" s="69"/>
      <c r="K77" s="69"/>
      <c r="L77" s="69"/>
    </row>
    <row r="78" spans="1:12" ht="27.75" customHeight="1">
      <c r="A78" s="42" t="s">
        <v>159</v>
      </c>
      <c r="B78" s="69" t="s">
        <v>106</v>
      </c>
      <c r="C78" s="69"/>
      <c r="D78" s="69"/>
      <c r="E78" s="69"/>
      <c r="F78" s="69"/>
      <c r="G78" s="69"/>
      <c r="H78" s="69"/>
      <c r="I78" s="69"/>
      <c r="J78" s="69"/>
      <c r="K78" s="69"/>
      <c r="L78" s="69"/>
    </row>
    <row r="79" spans="1:12" ht="15" customHeight="1">
      <c r="A79" s="42" t="s">
        <v>160</v>
      </c>
      <c r="B79" s="69" t="s">
        <v>102</v>
      </c>
      <c r="C79" s="69"/>
      <c r="D79" s="69"/>
      <c r="E79" s="69"/>
      <c r="F79" s="69"/>
      <c r="G79" s="69"/>
      <c r="H79" s="69"/>
      <c r="I79" s="69"/>
      <c r="J79" s="69"/>
      <c r="K79" s="69"/>
      <c r="L79" s="69"/>
    </row>
    <row r="80" spans="1:12" ht="27.75" customHeight="1">
      <c r="A80" s="42" t="s">
        <v>161</v>
      </c>
      <c r="B80" s="69" t="s">
        <v>149</v>
      </c>
      <c r="C80" s="69"/>
      <c r="D80" s="69"/>
      <c r="E80" s="69"/>
      <c r="F80" s="69"/>
      <c r="G80" s="69"/>
      <c r="H80" s="69"/>
      <c r="I80" s="69"/>
      <c r="J80" s="69"/>
      <c r="K80" s="69"/>
      <c r="L80" s="69"/>
    </row>
    <row r="81" spans="1:12" ht="14.25" customHeight="1">
      <c r="A81" s="42" t="s">
        <v>162</v>
      </c>
      <c r="B81" s="69" t="s">
        <v>150</v>
      </c>
      <c r="C81" s="69"/>
      <c r="D81" s="69"/>
      <c r="E81" s="69"/>
      <c r="F81" s="69"/>
      <c r="G81" s="69"/>
      <c r="H81" s="69"/>
      <c r="I81" s="69"/>
      <c r="J81" s="69"/>
      <c r="K81" s="69"/>
      <c r="L81" s="69"/>
    </row>
    <row r="82" spans="1:12" ht="27.75" customHeight="1">
      <c r="A82" s="42" t="s">
        <v>163</v>
      </c>
      <c r="B82" s="69" t="s">
        <v>108</v>
      </c>
      <c r="C82" s="69"/>
      <c r="D82" s="69"/>
      <c r="E82" s="69"/>
      <c r="F82" s="69"/>
      <c r="G82" s="69"/>
      <c r="H82" s="69"/>
      <c r="I82" s="69"/>
      <c r="J82" s="69"/>
      <c r="K82" s="69"/>
      <c r="L82" s="69"/>
    </row>
    <row r="83" spans="1:12" ht="39.75" customHeight="1">
      <c r="A83" s="42" t="s">
        <v>164</v>
      </c>
      <c r="B83" s="69" t="s">
        <v>109</v>
      </c>
      <c r="C83" s="69"/>
      <c r="D83" s="69"/>
      <c r="E83" s="69"/>
      <c r="F83" s="69"/>
      <c r="G83" s="69"/>
      <c r="H83" s="69"/>
      <c r="I83" s="69"/>
      <c r="J83" s="69"/>
      <c r="K83" s="69"/>
      <c r="L83" s="69"/>
    </row>
    <row r="84" spans="1:12" ht="14.25" customHeight="1">
      <c r="A84" s="42"/>
      <c r="B84" s="37"/>
      <c r="C84" s="37"/>
      <c r="D84" s="37"/>
      <c r="E84" s="37"/>
      <c r="F84" s="37"/>
      <c r="G84" s="37"/>
      <c r="H84" s="37"/>
      <c r="I84" s="37"/>
      <c r="J84" s="37"/>
      <c r="K84" s="37"/>
      <c r="L84" s="37"/>
    </row>
    <row r="85" spans="1:12" ht="14.25" customHeight="1">
      <c r="A85" s="38">
        <v>2000</v>
      </c>
      <c r="B85" s="37"/>
      <c r="C85" s="37"/>
      <c r="D85" s="37"/>
      <c r="E85" s="37"/>
      <c r="F85" s="37"/>
      <c r="G85" s="37"/>
      <c r="H85" s="37"/>
      <c r="I85" s="37"/>
      <c r="J85" s="37"/>
      <c r="K85" s="37"/>
      <c r="L85" s="37"/>
    </row>
    <row r="86" spans="1:12" ht="25.5" customHeight="1">
      <c r="A86" s="42" t="s">
        <v>158</v>
      </c>
      <c r="B86" s="69" t="s">
        <v>203</v>
      </c>
      <c r="C86" s="69"/>
      <c r="D86" s="69"/>
      <c r="E86" s="69"/>
      <c r="F86" s="69"/>
      <c r="G86" s="69"/>
      <c r="H86" s="69"/>
      <c r="I86" s="69"/>
      <c r="J86" s="69"/>
      <c r="K86" s="69"/>
      <c r="L86" s="69"/>
    </row>
    <row r="87" spans="1:12" ht="13.5" customHeight="1">
      <c r="A87" s="39"/>
      <c r="B87" s="37"/>
      <c r="C87" s="37"/>
      <c r="D87" s="37"/>
      <c r="E87" s="37"/>
      <c r="F87" s="37"/>
      <c r="G87" s="37"/>
      <c r="H87" s="37"/>
      <c r="I87" s="37"/>
      <c r="J87" s="37"/>
      <c r="K87" s="37"/>
      <c r="L87" s="37"/>
    </row>
    <row r="88" spans="1:12" ht="12.75">
      <c r="A88" s="38">
        <v>2001</v>
      </c>
      <c r="B88" s="35"/>
      <c r="C88" s="35"/>
      <c r="D88" s="35"/>
      <c r="E88" s="35"/>
      <c r="F88" s="35"/>
      <c r="G88" s="35"/>
      <c r="H88" s="35"/>
      <c r="I88" s="35"/>
      <c r="J88" s="35"/>
      <c r="K88" s="35"/>
      <c r="L88" s="35"/>
    </row>
    <row r="89" spans="1:12" ht="42" customHeight="1">
      <c r="A89" s="42" t="s">
        <v>158</v>
      </c>
      <c r="B89" s="69" t="s">
        <v>188</v>
      </c>
      <c r="C89" s="69"/>
      <c r="D89" s="69"/>
      <c r="E89" s="69"/>
      <c r="F89" s="69"/>
      <c r="G89" s="69"/>
      <c r="H89" s="69"/>
      <c r="I89" s="69"/>
      <c r="J89" s="69"/>
      <c r="K89" s="69"/>
      <c r="L89" s="69"/>
    </row>
    <row r="90" spans="1:12" ht="42" customHeight="1">
      <c r="A90" s="42" t="s">
        <v>159</v>
      </c>
      <c r="B90" s="69" t="s">
        <v>117</v>
      </c>
      <c r="C90" s="69"/>
      <c r="D90" s="69"/>
      <c r="E90" s="69"/>
      <c r="F90" s="69"/>
      <c r="G90" s="69"/>
      <c r="H90" s="69"/>
      <c r="I90" s="69"/>
      <c r="J90" s="69"/>
      <c r="K90" s="69"/>
      <c r="L90" s="69"/>
    </row>
    <row r="91" spans="1:12" ht="13.5" customHeight="1">
      <c r="A91" s="42" t="s">
        <v>160</v>
      </c>
      <c r="B91" s="69" t="s">
        <v>151</v>
      </c>
      <c r="C91" s="69"/>
      <c r="D91" s="69"/>
      <c r="E91" s="69"/>
      <c r="F91" s="69"/>
      <c r="G91" s="69"/>
      <c r="H91" s="69"/>
      <c r="I91" s="69"/>
      <c r="J91" s="69"/>
      <c r="K91" s="69"/>
      <c r="L91" s="69"/>
    </row>
    <row r="92" spans="1:12" ht="13.5" customHeight="1">
      <c r="A92" s="42" t="s">
        <v>161</v>
      </c>
      <c r="B92" s="69" t="s">
        <v>103</v>
      </c>
      <c r="C92" s="69"/>
      <c r="D92" s="69"/>
      <c r="E92" s="69"/>
      <c r="F92" s="69"/>
      <c r="G92" s="69"/>
      <c r="H92" s="69"/>
      <c r="I92" s="69"/>
      <c r="J92" s="69"/>
      <c r="K92" s="69"/>
      <c r="L92" s="69"/>
    </row>
    <row r="93" spans="1:12" ht="21.75" customHeight="1">
      <c r="A93" s="39"/>
      <c r="B93" s="37"/>
      <c r="C93" s="37"/>
      <c r="D93" s="37"/>
      <c r="E93" s="37"/>
      <c r="F93" s="37"/>
      <c r="G93" s="37"/>
      <c r="H93" s="37"/>
      <c r="I93" s="37"/>
      <c r="J93" s="37"/>
      <c r="K93" s="37"/>
      <c r="L93" s="37"/>
    </row>
    <row r="94" spans="1:12" ht="12.75">
      <c r="A94" s="38">
        <v>2002</v>
      </c>
      <c r="B94" s="35"/>
      <c r="C94" s="35"/>
      <c r="D94" s="35"/>
      <c r="E94" s="35"/>
      <c r="F94" s="35"/>
      <c r="G94" s="35"/>
      <c r="H94" s="35"/>
      <c r="I94" s="35"/>
      <c r="J94" s="35"/>
      <c r="K94" s="35"/>
      <c r="L94" s="35"/>
    </row>
    <row r="95" spans="1:12" ht="52.5" customHeight="1">
      <c r="A95" s="42" t="s">
        <v>158</v>
      </c>
      <c r="B95" s="69" t="s">
        <v>153</v>
      </c>
      <c r="C95" s="69"/>
      <c r="D95" s="69"/>
      <c r="E95" s="69"/>
      <c r="F95" s="69"/>
      <c r="G95" s="69"/>
      <c r="H95" s="69"/>
      <c r="I95" s="69"/>
      <c r="J95" s="69"/>
      <c r="K95" s="69"/>
      <c r="L95" s="69"/>
    </row>
    <row r="96" spans="1:12" ht="25.5" customHeight="1">
      <c r="A96" s="42" t="s">
        <v>159</v>
      </c>
      <c r="B96" s="69" t="s">
        <v>118</v>
      </c>
      <c r="C96" s="69"/>
      <c r="D96" s="69"/>
      <c r="E96" s="69"/>
      <c r="F96" s="69"/>
      <c r="G96" s="69"/>
      <c r="H96" s="69"/>
      <c r="I96" s="69"/>
      <c r="J96" s="69"/>
      <c r="K96" s="69"/>
      <c r="L96" s="69"/>
    </row>
    <row r="97" spans="1:12" ht="15" customHeight="1">
      <c r="A97" s="42" t="s">
        <v>160</v>
      </c>
      <c r="B97" s="69" t="s">
        <v>154</v>
      </c>
      <c r="C97" s="69"/>
      <c r="D97" s="69"/>
      <c r="E97" s="69"/>
      <c r="F97" s="69"/>
      <c r="G97" s="69"/>
      <c r="H97" s="69"/>
      <c r="I97" s="69"/>
      <c r="J97" s="69"/>
      <c r="K97" s="69"/>
      <c r="L97" s="69"/>
    </row>
    <row r="98" spans="1:12" ht="66" customHeight="1">
      <c r="A98" s="42" t="s">
        <v>161</v>
      </c>
      <c r="B98" s="69" t="s">
        <v>189</v>
      </c>
      <c r="C98" s="69"/>
      <c r="D98" s="69"/>
      <c r="E98" s="69"/>
      <c r="F98" s="69"/>
      <c r="G98" s="69"/>
      <c r="H98" s="69"/>
      <c r="I98" s="69"/>
      <c r="J98" s="69"/>
      <c r="K98" s="69"/>
      <c r="L98" s="69"/>
    </row>
    <row r="99" spans="1:12" ht="17.25" customHeight="1">
      <c r="A99" s="42" t="s">
        <v>162</v>
      </c>
      <c r="B99" s="69" t="s">
        <v>180</v>
      </c>
      <c r="C99" s="69"/>
      <c r="D99" s="69"/>
      <c r="E99" s="69"/>
      <c r="F99" s="69"/>
      <c r="G99" s="69"/>
      <c r="H99" s="69"/>
      <c r="I99" s="69"/>
      <c r="J99" s="69"/>
      <c r="K99" s="69"/>
      <c r="L99" s="69"/>
    </row>
    <row r="100" spans="1:12" ht="19.5" customHeight="1">
      <c r="A100" s="39"/>
      <c r="B100" s="37"/>
      <c r="C100" s="37"/>
      <c r="D100" s="37"/>
      <c r="E100" s="37"/>
      <c r="F100" s="37"/>
      <c r="G100" s="37"/>
      <c r="H100" s="37"/>
      <c r="I100" s="37"/>
      <c r="J100" s="37"/>
      <c r="K100" s="37"/>
      <c r="L100" s="37"/>
    </row>
    <row r="101" spans="1:12" ht="12.75">
      <c r="A101" s="38">
        <v>2003</v>
      </c>
      <c r="B101" s="35"/>
      <c r="C101" s="35"/>
      <c r="D101" s="35"/>
      <c r="E101" s="35"/>
      <c r="F101" s="35"/>
      <c r="G101" s="35"/>
      <c r="H101" s="35"/>
      <c r="I101" s="35"/>
      <c r="J101" s="35"/>
      <c r="K101" s="35"/>
      <c r="L101" s="35"/>
    </row>
    <row r="102" spans="1:12" ht="54" customHeight="1">
      <c r="A102" s="42" t="s">
        <v>158</v>
      </c>
      <c r="B102" s="69" t="s">
        <v>127</v>
      </c>
      <c r="C102" s="69"/>
      <c r="D102" s="69"/>
      <c r="E102" s="69"/>
      <c r="F102" s="69"/>
      <c r="G102" s="69"/>
      <c r="H102" s="69"/>
      <c r="I102" s="69"/>
      <c r="J102" s="69"/>
      <c r="K102" s="69"/>
      <c r="L102" s="69"/>
    </row>
    <row r="103" spans="1:12" ht="58.5" customHeight="1">
      <c r="A103" s="42" t="s">
        <v>159</v>
      </c>
      <c r="B103" s="69" t="s">
        <v>152</v>
      </c>
      <c r="C103" s="69"/>
      <c r="D103" s="69"/>
      <c r="E103" s="69"/>
      <c r="F103" s="69"/>
      <c r="G103" s="69"/>
      <c r="H103" s="69"/>
      <c r="I103" s="69"/>
      <c r="J103" s="69"/>
      <c r="K103" s="69"/>
      <c r="L103" s="69"/>
    </row>
    <row r="104" spans="1:12" ht="55.5" customHeight="1">
      <c r="A104" s="42" t="s">
        <v>160</v>
      </c>
      <c r="B104" s="69" t="s">
        <v>155</v>
      </c>
      <c r="C104" s="69"/>
      <c r="D104" s="69"/>
      <c r="E104" s="69"/>
      <c r="F104" s="69"/>
      <c r="G104" s="69"/>
      <c r="H104" s="69"/>
      <c r="I104" s="69"/>
      <c r="J104" s="69"/>
      <c r="K104" s="69"/>
      <c r="L104" s="69"/>
    </row>
    <row r="105" spans="1:12" ht="19.5" customHeight="1">
      <c r="A105" s="39"/>
      <c r="B105" s="37"/>
      <c r="C105" s="37"/>
      <c r="D105" s="37"/>
      <c r="E105" s="37"/>
      <c r="F105" s="37"/>
      <c r="G105" s="37"/>
      <c r="H105" s="37"/>
      <c r="I105" s="37"/>
      <c r="J105" s="37"/>
      <c r="K105" s="37"/>
      <c r="L105" s="37"/>
    </row>
    <row r="106" spans="1:12" ht="12.75">
      <c r="A106" s="38">
        <v>2004</v>
      </c>
      <c r="B106" s="35"/>
      <c r="C106" s="35"/>
      <c r="D106" s="35"/>
      <c r="E106" s="35"/>
      <c r="F106" s="35"/>
      <c r="G106" s="35"/>
      <c r="H106" s="35"/>
      <c r="I106" s="35"/>
      <c r="J106" s="35"/>
      <c r="K106" s="35"/>
      <c r="L106" s="35"/>
    </row>
    <row r="107" spans="1:12" ht="41.25" customHeight="1">
      <c r="A107" s="42" t="s">
        <v>158</v>
      </c>
      <c r="B107" s="69" t="s">
        <v>119</v>
      </c>
      <c r="C107" s="69"/>
      <c r="D107" s="69"/>
      <c r="E107" s="69"/>
      <c r="F107" s="69"/>
      <c r="G107" s="69"/>
      <c r="H107" s="69"/>
      <c r="I107" s="69"/>
      <c r="J107" s="69"/>
      <c r="K107" s="69"/>
      <c r="L107" s="69"/>
    </row>
    <row r="108" spans="1:12" ht="54.75" customHeight="1">
      <c r="A108" s="42" t="s">
        <v>159</v>
      </c>
      <c r="B108" s="69" t="s">
        <v>157</v>
      </c>
      <c r="C108" s="69"/>
      <c r="D108" s="69"/>
      <c r="E108" s="69"/>
      <c r="F108" s="69"/>
      <c r="G108" s="69"/>
      <c r="H108" s="69"/>
      <c r="I108" s="69"/>
      <c r="J108" s="69"/>
      <c r="K108" s="69"/>
      <c r="L108" s="69"/>
    </row>
    <row r="109" spans="1:12" ht="27" customHeight="1">
      <c r="A109" s="42" t="s">
        <v>160</v>
      </c>
      <c r="B109" s="69" t="s">
        <v>156</v>
      </c>
      <c r="C109" s="69"/>
      <c r="D109" s="69"/>
      <c r="E109" s="69"/>
      <c r="F109" s="69"/>
      <c r="G109" s="69"/>
      <c r="H109" s="69"/>
      <c r="I109" s="69"/>
      <c r="J109" s="69"/>
      <c r="K109" s="69"/>
      <c r="L109" s="69"/>
    </row>
    <row r="110" spans="1:12" ht="29.25" customHeight="1">
      <c r="A110" s="42" t="s">
        <v>161</v>
      </c>
      <c r="B110" s="69" t="s">
        <v>128</v>
      </c>
      <c r="C110" s="69"/>
      <c r="D110" s="69"/>
      <c r="E110" s="69"/>
      <c r="F110" s="69"/>
      <c r="G110" s="69"/>
      <c r="H110" s="69"/>
      <c r="I110" s="69"/>
      <c r="J110" s="69"/>
      <c r="K110" s="69"/>
      <c r="L110" s="69"/>
    </row>
    <row r="111" spans="1:12" ht="10.5" customHeight="1">
      <c r="A111" s="25"/>
      <c r="B111" s="25"/>
      <c r="C111" s="25"/>
      <c r="D111" s="25"/>
      <c r="E111" s="25"/>
      <c r="F111" s="25"/>
      <c r="G111" s="25"/>
      <c r="H111" s="25"/>
      <c r="I111" s="25"/>
      <c r="J111" s="25"/>
      <c r="K111" s="25"/>
      <c r="L111" s="25"/>
    </row>
    <row r="112" spans="1:12" ht="12.75">
      <c r="A112" s="38">
        <v>2005</v>
      </c>
      <c r="B112" s="35"/>
      <c r="C112" s="35"/>
      <c r="D112" s="35"/>
      <c r="E112" s="35"/>
      <c r="F112" s="35"/>
      <c r="G112" s="35"/>
      <c r="H112" s="35"/>
      <c r="I112" s="35"/>
      <c r="J112" s="35"/>
      <c r="K112" s="35"/>
      <c r="L112" s="35"/>
    </row>
    <row r="113" spans="1:12" ht="54.75" customHeight="1">
      <c r="A113" s="42" t="s">
        <v>158</v>
      </c>
      <c r="B113" s="69" t="s">
        <v>171</v>
      </c>
      <c r="C113" s="69"/>
      <c r="D113" s="69"/>
      <c r="E113" s="69"/>
      <c r="F113" s="69"/>
      <c r="G113" s="69"/>
      <c r="H113" s="69"/>
      <c r="I113" s="69"/>
      <c r="J113" s="69"/>
      <c r="K113" s="69"/>
      <c r="L113" s="69"/>
    </row>
    <row r="114" spans="1:12" ht="66" customHeight="1">
      <c r="A114" s="42" t="s">
        <v>159</v>
      </c>
      <c r="B114" s="69" t="s">
        <v>172</v>
      </c>
      <c r="C114" s="69"/>
      <c r="D114" s="69"/>
      <c r="E114" s="69"/>
      <c r="F114" s="69"/>
      <c r="G114" s="69"/>
      <c r="H114" s="69"/>
      <c r="I114" s="69"/>
      <c r="J114" s="69"/>
      <c r="K114" s="69"/>
      <c r="L114" s="69"/>
    </row>
    <row r="115" spans="1:12" ht="54.75" customHeight="1">
      <c r="A115" s="42" t="s">
        <v>160</v>
      </c>
      <c r="B115" s="69" t="s">
        <v>196</v>
      </c>
      <c r="C115" s="69"/>
      <c r="D115" s="69"/>
      <c r="E115" s="69"/>
      <c r="F115" s="69"/>
      <c r="G115" s="69"/>
      <c r="H115" s="69"/>
      <c r="I115" s="69"/>
      <c r="J115" s="69"/>
      <c r="K115" s="69"/>
      <c r="L115" s="69"/>
    </row>
    <row r="116" spans="1:12" ht="30.75" customHeight="1">
      <c r="A116" s="42" t="s">
        <v>161</v>
      </c>
      <c r="B116" s="69" t="s">
        <v>177</v>
      </c>
      <c r="C116" s="69"/>
      <c r="D116" s="69"/>
      <c r="E116" s="69"/>
      <c r="F116" s="69"/>
      <c r="G116" s="69"/>
      <c r="H116" s="69"/>
      <c r="I116" s="69"/>
      <c r="J116" s="69"/>
      <c r="K116" s="69"/>
      <c r="L116" s="69"/>
    </row>
    <row r="117" spans="1:12" ht="30" customHeight="1">
      <c r="A117" s="42" t="s">
        <v>162</v>
      </c>
      <c r="B117" s="69" t="s">
        <v>173</v>
      </c>
      <c r="C117" s="69"/>
      <c r="D117" s="69"/>
      <c r="E117" s="69"/>
      <c r="F117" s="69"/>
      <c r="G117" s="69"/>
      <c r="H117" s="69"/>
      <c r="I117" s="69"/>
      <c r="J117" s="69"/>
      <c r="K117" s="69"/>
      <c r="L117" s="69"/>
    </row>
    <row r="118" spans="1:12" ht="12.75" customHeight="1">
      <c r="A118" s="42"/>
      <c r="B118" s="37"/>
      <c r="C118" s="37"/>
      <c r="D118" s="37"/>
      <c r="E118" s="37"/>
      <c r="F118" s="37"/>
      <c r="G118" s="37"/>
      <c r="H118" s="37"/>
      <c r="I118" s="37"/>
      <c r="J118" s="37"/>
      <c r="K118" s="37"/>
      <c r="L118" s="37"/>
    </row>
    <row r="119" ht="12.75">
      <c r="A119" s="38">
        <v>2006</v>
      </c>
    </row>
    <row r="120" spans="1:12" ht="27.75" customHeight="1">
      <c r="A120" s="42" t="s">
        <v>158</v>
      </c>
      <c r="B120" s="69" t="s">
        <v>183</v>
      </c>
      <c r="C120" s="69"/>
      <c r="D120" s="69"/>
      <c r="E120" s="69"/>
      <c r="F120" s="69"/>
      <c r="G120" s="69"/>
      <c r="H120" s="69"/>
      <c r="I120" s="69"/>
      <c r="J120" s="69"/>
      <c r="K120" s="69"/>
      <c r="L120" s="69"/>
    </row>
    <row r="121" spans="1:12" ht="53.25" customHeight="1">
      <c r="A121" s="42" t="s">
        <v>159</v>
      </c>
      <c r="B121" s="69" t="s">
        <v>184</v>
      </c>
      <c r="C121" s="69"/>
      <c r="D121" s="69"/>
      <c r="E121" s="69"/>
      <c r="F121" s="69"/>
      <c r="G121" s="69"/>
      <c r="H121" s="69"/>
      <c r="I121" s="69"/>
      <c r="J121" s="69"/>
      <c r="K121" s="69"/>
      <c r="L121" s="69"/>
    </row>
    <row r="122" spans="1:12" ht="42.75" customHeight="1">
      <c r="A122" s="42" t="s">
        <v>160</v>
      </c>
      <c r="B122" s="69" t="s">
        <v>194</v>
      </c>
      <c r="C122" s="69"/>
      <c r="D122" s="69"/>
      <c r="E122" s="69"/>
      <c r="F122" s="69"/>
      <c r="G122" s="69"/>
      <c r="H122" s="69"/>
      <c r="I122" s="69"/>
      <c r="J122" s="69"/>
      <c r="K122" s="69"/>
      <c r="L122" s="69"/>
    </row>
    <row r="123" spans="1:12" ht="29.25" customHeight="1">
      <c r="A123" s="42" t="s">
        <v>161</v>
      </c>
      <c r="B123" s="69" t="s">
        <v>185</v>
      </c>
      <c r="C123" s="69"/>
      <c r="D123" s="69"/>
      <c r="E123" s="69"/>
      <c r="F123" s="69"/>
      <c r="G123" s="69"/>
      <c r="H123" s="69"/>
      <c r="I123" s="69"/>
      <c r="J123" s="69"/>
      <c r="K123" s="69"/>
      <c r="L123" s="69"/>
    </row>
    <row r="124" spans="1:12" ht="26.25" customHeight="1">
      <c r="A124" s="42" t="s">
        <v>162</v>
      </c>
      <c r="B124" s="71" t="s">
        <v>186</v>
      </c>
      <c r="C124" s="71"/>
      <c r="D124" s="71"/>
      <c r="E124" s="71"/>
      <c r="F124" s="71"/>
      <c r="G124" s="71"/>
      <c r="H124" s="71"/>
      <c r="I124" s="71"/>
      <c r="J124" s="71"/>
      <c r="K124" s="71"/>
      <c r="L124" s="71"/>
    </row>
    <row r="126" ht="12.75">
      <c r="A126" s="38">
        <v>2007</v>
      </c>
    </row>
    <row r="127" spans="1:12" ht="17.25" customHeight="1">
      <c r="A127" s="42" t="s">
        <v>158</v>
      </c>
      <c r="B127" s="69" t="s">
        <v>192</v>
      </c>
      <c r="C127" s="69"/>
      <c r="D127" s="69"/>
      <c r="E127" s="69"/>
      <c r="F127" s="69"/>
      <c r="G127" s="69"/>
      <c r="H127" s="69"/>
      <c r="I127" s="69"/>
      <c r="J127" s="69"/>
      <c r="K127" s="69"/>
      <c r="L127" s="69"/>
    </row>
    <row r="128" spans="1:12" ht="64.5" customHeight="1">
      <c r="A128" s="42" t="s">
        <v>159</v>
      </c>
      <c r="B128" s="69" t="s">
        <v>193</v>
      </c>
      <c r="C128" s="69"/>
      <c r="D128" s="69"/>
      <c r="E128" s="69"/>
      <c r="F128" s="69"/>
      <c r="G128" s="69"/>
      <c r="H128" s="69"/>
      <c r="I128" s="69"/>
      <c r="J128" s="69"/>
      <c r="K128" s="69"/>
      <c r="L128" s="69"/>
    </row>
    <row r="129" spans="1:12" ht="56.25" customHeight="1">
      <c r="A129" s="42" t="s">
        <v>160</v>
      </c>
      <c r="B129" s="71" t="s">
        <v>195</v>
      </c>
      <c r="C129" s="71"/>
      <c r="D129" s="71"/>
      <c r="E129" s="71"/>
      <c r="F129" s="71"/>
      <c r="G129" s="71"/>
      <c r="H129" s="71"/>
      <c r="I129" s="71"/>
      <c r="J129" s="71"/>
      <c r="K129" s="71"/>
      <c r="L129" s="71"/>
    </row>
    <row r="130" spans="1:12" ht="42" customHeight="1">
      <c r="A130" s="42" t="s">
        <v>161</v>
      </c>
      <c r="B130" s="69" t="s">
        <v>191</v>
      </c>
      <c r="C130" s="69"/>
      <c r="D130" s="69"/>
      <c r="E130" s="69"/>
      <c r="F130" s="69"/>
      <c r="G130" s="69"/>
      <c r="H130" s="69"/>
      <c r="I130" s="69"/>
      <c r="J130" s="69"/>
      <c r="K130" s="69"/>
      <c r="L130" s="69"/>
    </row>
    <row r="132" ht="12.75">
      <c r="A132" s="38">
        <v>2008</v>
      </c>
    </row>
    <row r="133" spans="1:12" ht="26.25" customHeight="1">
      <c r="A133" s="42" t="s">
        <v>158</v>
      </c>
      <c r="B133" s="69" t="s">
        <v>198</v>
      </c>
      <c r="C133" s="69"/>
      <c r="D133" s="69"/>
      <c r="E133" s="69"/>
      <c r="F133" s="69"/>
      <c r="G133" s="69"/>
      <c r="H133" s="69"/>
      <c r="I133" s="69"/>
      <c r="J133" s="69"/>
      <c r="K133" s="69"/>
      <c r="L133" s="69"/>
    </row>
    <row r="134" spans="1:12" ht="12.75">
      <c r="A134" s="42" t="s">
        <v>159</v>
      </c>
      <c r="B134" s="69" t="s">
        <v>199</v>
      </c>
      <c r="C134" s="69"/>
      <c r="D134" s="69"/>
      <c r="E134" s="69"/>
      <c r="F134" s="69"/>
      <c r="G134" s="69"/>
      <c r="H134" s="69"/>
      <c r="I134" s="69"/>
      <c r="J134" s="69"/>
      <c r="K134" s="69"/>
      <c r="L134" s="69"/>
    </row>
    <row r="135" spans="1:12" ht="25.5" customHeight="1">
      <c r="A135" s="42" t="s">
        <v>160</v>
      </c>
      <c r="B135" s="69" t="s">
        <v>204</v>
      </c>
      <c r="C135" s="69"/>
      <c r="D135" s="69"/>
      <c r="E135" s="69"/>
      <c r="F135" s="69"/>
      <c r="G135" s="69"/>
      <c r="H135" s="69"/>
      <c r="I135" s="69"/>
      <c r="J135" s="69"/>
      <c r="K135" s="69"/>
      <c r="L135" s="69"/>
    </row>
    <row r="136" spans="1:2" ht="12.75">
      <c r="A136" s="42" t="s">
        <v>161</v>
      </c>
      <c r="B136" s="1" t="s">
        <v>200</v>
      </c>
    </row>
    <row r="137" ht="12.75">
      <c r="A137" s="42"/>
    </row>
    <row r="138" ht="12.75">
      <c r="A138" s="42" t="s">
        <v>205</v>
      </c>
    </row>
    <row r="139" spans="1:12" ht="39" customHeight="1">
      <c r="A139" s="42" t="s">
        <v>158</v>
      </c>
      <c r="B139" s="69" t="s">
        <v>208</v>
      </c>
      <c r="C139" s="69"/>
      <c r="D139" s="69"/>
      <c r="E139" s="69"/>
      <c r="F139" s="69"/>
      <c r="G139" s="69"/>
      <c r="H139" s="69"/>
      <c r="I139" s="69"/>
      <c r="J139" s="69"/>
      <c r="K139" s="69"/>
      <c r="L139" s="69"/>
    </row>
    <row r="140" ht="12.75">
      <c r="A140" s="42"/>
    </row>
    <row r="141" ht="12.75">
      <c r="A141" s="38">
        <v>2009</v>
      </c>
    </row>
    <row r="142" spans="1:2" ht="12.75" customHeight="1">
      <c r="A142" s="42" t="s">
        <v>158</v>
      </c>
      <c r="B142" s="1" t="s">
        <v>227</v>
      </c>
    </row>
    <row r="144" ht="12.75">
      <c r="A144" s="38">
        <v>2010</v>
      </c>
    </row>
    <row r="145" spans="1:2" ht="12.75">
      <c r="A145" s="42" t="s">
        <v>158</v>
      </c>
      <c r="B145" s="1" t="s">
        <v>212</v>
      </c>
    </row>
    <row r="146" spans="1:12" ht="42" customHeight="1">
      <c r="A146" s="42" t="s">
        <v>159</v>
      </c>
      <c r="B146" s="69" t="s">
        <v>228</v>
      </c>
      <c r="C146" s="69"/>
      <c r="D146" s="69"/>
      <c r="E146" s="69"/>
      <c r="F146" s="69"/>
      <c r="G146" s="69"/>
      <c r="H146" s="69"/>
      <c r="I146" s="69"/>
      <c r="J146" s="69"/>
      <c r="K146" s="69"/>
      <c r="L146" s="69"/>
    </row>
    <row r="147" spans="1:12" ht="24.75" customHeight="1">
      <c r="A147" s="42" t="s">
        <v>160</v>
      </c>
      <c r="B147" s="69" t="s">
        <v>213</v>
      </c>
      <c r="C147" s="69"/>
      <c r="D147" s="69"/>
      <c r="E147" s="69"/>
      <c r="F147" s="69"/>
      <c r="G147" s="69"/>
      <c r="H147" s="69"/>
      <c r="I147" s="69"/>
      <c r="J147" s="69"/>
      <c r="K147" s="69"/>
      <c r="L147" s="69"/>
    </row>
    <row r="148" spans="1:12" ht="42" customHeight="1">
      <c r="A148" s="42" t="s">
        <v>161</v>
      </c>
      <c r="B148" s="69" t="s">
        <v>222</v>
      </c>
      <c r="C148" s="69"/>
      <c r="D148" s="69"/>
      <c r="E148" s="69"/>
      <c r="F148" s="69"/>
      <c r="G148" s="69"/>
      <c r="H148" s="69"/>
      <c r="I148" s="69"/>
      <c r="J148" s="69"/>
      <c r="K148" s="69"/>
      <c r="L148" s="69"/>
    </row>
    <row r="149" spans="1:2" ht="12.75">
      <c r="A149" s="42" t="s">
        <v>162</v>
      </c>
      <c r="B149" s="1" t="s">
        <v>221</v>
      </c>
    </row>
    <row r="150" spans="1:12" ht="51.75" customHeight="1">
      <c r="A150" s="42" t="s">
        <v>163</v>
      </c>
      <c r="B150" s="70" t="s">
        <v>220</v>
      </c>
      <c r="C150" s="70"/>
      <c r="D150" s="70"/>
      <c r="E150" s="70"/>
      <c r="F150" s="70"/>
      <c r="G150" s="70"/>
      <c r="H150" s="70"/>
      <c r="I150" s="70"/>
      <c r="J150" s="70"/>
      <c r="K150" s="70"/>
      <c r="L150" s="70"/>
    </row>
    <row r="152" ht="12.75">
      <c r="A152" s="38">
        <v>2011</v>
      </c>
    </row>
    <row r="153" spans="1:12" ht="42" customHeight="1">
      <c r="A153" s="42" t="s">
        <v>158</v>
      </c>
      <c r="B153" s="69" t="s">
        <v>226</v>
      </c>
      <c r="C153" s="69"/>
      <c r="D153" s="69"/>
      <c r="E153" s="69"/>
      <c r="F153" s="69"/>
      <c r="G153" s="69"/>
      <c r="H153" s="69"/>
      <c r="I153" s="69"/>
      <c r="J153" s="69"/>
      <c r="K153" s="69"/>
      <c r="L153" s="69"/>
    </row>
    <row r="154" spans="1:12" ht="28.5" customHeight="1">
      <c r="A154" s="42" t="s">
        <v>159</v>
      </c>
      <c r="B154" s="69" t="s">
        <v>229</v>
      </c>
      <c r="C154" s="69"/>
      <c r="D154" s="69"/>
      <c r="E154" s="69"/>
      <c r="F154" s="69"/>
      <c r="G154" s="69"/>
      <c r="H154" s="69"/>
      <c r="I154" s="69"/>
      <c r="J154" s="69"/>
      <c r="K154" s="69"/>
      <c r="L154" s="69"/>
    </row>
    <row r="155" spans="1:12" ht="24.75" customHeight="1">
      <c r="A155" s="42" t="s">
        <v>160</v>
      </c>
      <c r="B155" s="69" t="s">
        <v>230</v>
      </c>
      <c r="C155" s="69"/>
      <c r="D155" s="69"/>
      <c r="E155" s="69"/>
      <c r="F155" s="69"/>
      <c r="G155" s="69"/>
      <c r="H155" s="69"/>
      <c r="I155" s="69"/>
      <c r="J155" s="69"/>
      <c r="K155" s="69"/>
      <c r="L155" s="69"/>
    </row>
    <row r="156" spans="1:12" ht="52.5" customHeight="1">
      <c r="A156" s="42" t="s">
        <v>161</v>
      </c>
      <c r="B156" s="69" t="s">
        <v>231</v>
      </c>
      <c r="C156" s="69"/>
      <c r="D156" s="69"/>
      <c r="E156" s="69"/>
      <c r="F156" s="69"/>
      <c r="G156" s="69"/>
      <c r="H156" s="69"/>
      <c r="I156" s="69"/>
      <c r="J156" s="69"/>
      <c r="K156" s="69"/>
      <c r="L156" s="69"/>
    </row>
    <row r="157" spans="1:12" ht="41.25" customHeight="1">
      <c r="A157" s="42" t="s">
        <v>162</v>
      </c>
      <c r="B157" s="69" t="s">
        <v>232</v>
      </c>
      <c r="C157" s="69"/>
      <c r="D157" s="69"/>
      <c r="E157" s="69"/>
      <c r="F157" s="69"/>
      <c r="G157" s="69"/>
      <c r="H157" s="69"/>
      <c r="I157" s="69"/>
      <c r="J157" s="69"/>
      <c r="K157" s="69"/>
      <c r="L157" s="69"/>
    </row>
    <row r="158" spans="1:12" ht="12.75">
      <c r="A158" s="42"/>
      <c r="B158" s="70"/>
      <c r="C158" s="70"/>
      <c r="D158" s="70"/>
      <c r="E158" s="70"/>
      <c r="F158" s="70"/>
      <c r="G158" s="70"/>
      <c r="H158" s="70"/>
      <c r="I158" s="70"/>
      <c r="J158" s="70"/>
      <c r="K158" s="70"/>
      <c r="L158" s="70"/>
    </row>
    <row r="159" ht="12.75">
      <c r="A159" s="38">
        <v>2012</v>
      </c>
    </row>
    <row r="160" spans="1:12" ht="28.5" customHeight="1">
      <c r="A160" s="42" t="s">
        <v>158</v>
      </c>
      <c r="B160" s="69" t="s">
        <v>236</v>
      </c>
      <c r="C160" s="69"/>
      <c r="D160" s="69"/>
      <c r="E160" s="69"/>
      <c r="F160" s="69"/>
      <c r="G160" s="69"/>
      <c r="H160" s="69"/>
      <c r="I160" s="69"/>
      <c r="J160" s="69"/>
      <c r="K160" s="69"/>
      <c r="L160" s="69"/>
    </row>
    <row r="161" spans="1:12" ht="38.25" customHeight="1">
      <c r="A161" s="42" t="s">
        <v>159</v>
      </c>
      <c r="B161" s="69" t="s">
        <v>238</v>
      </c>
      <c r="C161" s="69"/>
      <c r="D161" s="69"/>
      <c r="E161" s="69"/>
      <c r="F161" s="69"/>
      <c r="G161" s="69"/>
      <c r="H161" s="69"/>
      <c r="I161" s="69"/>
      <c r="J161" s="69"/>
      <c r="K161" s="69"/>
      <c r="L161" s="69"/>
    </row>
    <row r="162" spans="1:12" ht="42" customHeight="1">
      <c r="A162" s="42" t="s">
        <v>160</v>
      </c>
      <c r="B162" s="69" t="s">
        <v>239</v>
      </c>
      <c r="C162" s="69"/>
      <c r="D162" s="69"/>
      <c r="E162" s="69"/>
      <c r="F162" s="69"/>
      <c r="G162" s="69"/>
      <c r="H162" s="69"/>
      <c r="I162" s="69"/>
      <c r="J162" s="69"/>
      <c r="K162" s="69"/>
      <c r="L162" s="69"/>
    </row>
    <row r="164" ht="12.75">
      <c r="A164" s="38">
        <v>2013</v>
      </c>
    </row>
    <row r="165" spans="1:12" ht="54" customHeight="1">
      <c r="A165" s="42" t="s">
        <v>158</v>
      </c>
      <c r="B165" s="69" t="s">
        <v>246</v>
      </c>
      <c r="C165" s="69"/>
      <c r="D165" s="69"/>
      <c r="E165" s="69"/>
      <c r="F165" s="69"/>
      <c r="G165" s="69"/>
      <c r="H165" s="69"/>
      <c r="I165" s="69"/>
      <c r="J165" s="69"/>
      <c r="K165" s="69"/>
      <c r="L165" s="69"/>
    </row>
    <row r="166" spans="1:12" ht="53.25" customHeight="1">
      <c r="A166" s="42" t="s">
        <v>159</v>
      </c>
      <c r="B166" s="69" t="s">
        <v>243</v>
      </c>
      <c r="C166" s="69"/>
      <c r="D166" s="69"/>
      <c r="E166" s="69"/>
      <c r="F166" s="69"/>
      <c r="G166" s="69"/>
      <c r="H166" s="69"/>
      <c r="I166" s="69"/>
      <c r="J166" s="69"/>
      <c r="K166" s="69"/>
      <c r="L166" s="69"/>
    </row>
    <row r="167" spans="1:12" ht="39" customHeight="1">
      <c r="A167" s="42" t="s">
        <v>160</v>
      </c>
      <c r="B167" s="69" t="s">
        <v>242</v>
      </c>
      <c r="C167" s="69"/>
      <c r="D167" s="69"/>
      <c r="E167" s="69"/>
      <c r="F167" s="69"/>
      <c r="G167" s="69"/>
      <c r="H167" s="69"/>
      <c r="I167" s="69"/>
      <c r="J167" s="69"/>
      <c r="K167" s="69"/>
      <c r="L167" s="69"/>
    </row>
  </sheetData>
  <sheetProtection/>
  <mergeCells count="82">
    <mergeCell ref="B162:L162"/>
    <mergeCell ref="B165:L165"/>
    <mergeCell ref="B166:L166"/>
    <mergeCell ref="B167:L167"/>
    <mergeCell ref="B27:L27"/>
    <mergeCell ref="B30:L30"/>
    <mergeCell ref="B33:L33"/>
    <mergeCell ref="B36:L36"/>
    <mergeCell ref="B73:L73"/>
    <mergeCell ref="B51:L51"/>
    <mergeCell ref="B55:L55"/>
    <mergeCell ref="B71:L71"/>
    <mergeCell ref="B39:L39"/>
    <mergeCell ref="B42:L42"/>
    <mergeCell ref="B43:L43"/>
    <mergeCell ref="B54:L54"/>
    <mergeCell ref="B56:L56"/>
    <mergeCell ref="B57:L57"/>
    <mergeCell ref="B46:L46"/>
    <mergeCell ref="B49:L49"/>
    <mergeCell ref="B89:L89"/>
    <mergeCell ref="B68:L68"/>
    <mergeCell ref="B77:L77"/>
    <mergeCell ref="B50:L50"/>
    <mergeCell ref="B78:L78"/>
    <mergeCell ref="B72:L72"/>
    <mergeCell ref="B60:L60"/>
    <mergeCell ref="B63:L63"/>
    <mergeCell ref="B64:L64"/>
    <mergeCell ref="B67:L67"/>
    <mergeCell ref="B110:L110"/>
    <mergeCell ref="B74:L74"/>
    <mergeCell ref="B79:L79"/>
    <mergeCell ref="B80:L80"/>
    <mergeCell ref="B103:L103"/>
    <mergeCell ref="B104:L104"/>
    <mergeCell ref="B81:L81"/>
    <mergeCell ref="B82:L82"/>
    <mergeCell ref="B83:L83"/>
    <mergeCell ref="B86:L86"/>
    <mergeCell ref="B102:L102"/>
    <mergeCell ref="B90:L90"/>
    <mergeCell ref="B91:L91"/>
    <mergeCell ref="B92:L92"/>
    <mergeCell ref="B117:L117"/>
    <mergeCell ref="B116:L116"/>
    <mergeCell ref="B96:L96"/>
    <mergeCell ref="B97:L97"/>
    <mergeCell ref="B98:L98"/>
    <mergeCell ref="B95:L95"/>
    <mergeCell ref="B120:L120"/>
    <mergeCell ref="B121:L121"/>
    <mergeCell ref="B107:L107"/>
    <mergeCell ref="B122:L122"/>
    <mergeCell ref="B123:L123"/>
    <mergeCell ref="B99:L99"/>
    <mergeCell ref="B108:L108"/>
    <mergeCell ref="B113:L113"/>
    <mergeCell ref="B114:L114"/>
    <mergeCell ref="B109:L109"/>
    <mergeCell ref="B134:L134"/>
    <mergeCell ref="B135:L135"/>
    <mergeCell ref="B130:L130"/>
    <mergeCell ref="B139:L139"/>
    <mergeCell ref="B133:L133"/>
    <mergeCell ref="B115:L115"/>
    <mergeCell ref="B129:L129"/>
    <mergeCell ref="B128:L128"/>
    <mergeCell ref="B127:L127"/>
    <mergeCell ref="B124:L124"/>
    <mergeCell ref="B153:L153"/>
    <mergeCell ref="B157:L157"/>
    <mergeCell ref="B150:L150"/>
    <mergeCell ref="B146:L146"/>
    <mergeCell ref="B147:L147"/>
    <mergeCell ref="B148:L148"/>
    <mergeCell ref="B161:L161"/>
    <mergeCell ref="B154:L154"/>
    <mergeCell ref="B155:L155"/>
    <mergeCell ref="B156:L156"/>
    <mergeCell ref="B158:L158"/>
    <mergeCell ref="B160:L160"/>
  </mergeCells>
  <printOptions/>
  <pageMargins left="0.75" right="0.5" top="0.75" bottom="0.75" header="0" footer="0"/>
  <pageSetup horizontalDpi="600" verticalDpi="600" orientation="portrait" scale="71" r:id="rId1"/>
  <rowBreaks count="4" manualBreakCount="4">
    <brk id="60" max="14" man="1"/>
    <brk id="99" max="14" man="1"/>
    <brk id="124" max="14" man="1"/>
    <brk id="15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ckim</dc:creator>
  <cp:keywords/>
  <dc:description/>
  <cp:lastModifiedBy>Windows User</cp:lastModifiedBy>
  <cp:lastPrinted>2015-03-24T17:33:15Z</cp:lastPrinted>
  <dcterms:created xsi:type="dcterms:W3CDTF">2004-12-27T14:36:58Z</dcterms:created>
  <dcterms:modified xsi:type="dcterms:W3CDTF">2015-03-31T15:43:33Z</dcterms:modified>
  <cp:category/>
  <cp:version/>
  <cp:contentType/>
  <cp:contentStatus/>
</cp:coreProperties>
</file>